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工作文件备份录\202106\考试院\2021年公开招聘\1公告\津市考生数据\"/>
    </mc:Choice>
  </mc:AlternateContent>
  <xr:revisionPtr revIDLastSave="0" documentId="13_ncr:1_{9C6E3AD3-7EF6-4329-BCAF-85ACA4AF4AA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津市考生数据" sheetId="1" r:id="rId1"/>
  </sheets>
  <definedNames>
    <definedName name="_xlnm._FilterDatabase" localSheetId="0" hidden="1">津市考生数据!$A$1:$D$2251</definedName>
    <definedName name="_xlnm.Print_Area" localSheetId="0">津市考生数据!$A$1:$D$2251</definedName>
  </definedNames>
  <calcPr calcId="181029"/>
</workbook>
</file>

<file path=xl/calcChain.xml><?xml version="1.0" encoding="utf-8"?>
<calcChain xmlns="http://schemas.openxmlformats.org/spreadsheetml/2006/main">
  <c r="B2" i="1" l="1"/>
  <c r="C2" i="1"/>
  <c r="D2" i="1"/>
  <c r="B3" i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B174" i="1"/>
  <c r="C174" i="1"/>
  <c r="D174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79" i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B186" i="1"/>
  <c r="C186" i="1"/>
  <c r="D186" i="1"/>
  <c r="B187" i="1"/>
  <c r="C187" i="1"/>
  <c r="D187" i="1"/>
  <c r="B188" i="1"/>
  <c r="C188" i="1"/>
  <c r="D188" i="1"/>
  <c r="B189" i="1"/>
  <c r="C189" i="1"/>
  <c r="D189" i="1"/>
  <c r="B190" i="1"/>
  <c r="C190" i="1"/>
  <c r="D190" i="1"/>
  <c r="B191" i="1"/>
  <c r="C191" i="1"/>
  <c r="D191" i="1"/>
  <c r="B192" i="1"/>
  <c r="C192" i="1"/>
  <c r="D192" i="1"/>
  <c r="B193" i="1"/>
  <c r="C193" i="1"/>
  <c r="D193" i="1"/>
  <c r="B194" i="1"/>
  <c r="C194" i="1"/>
  <c r="D194" i="1"/>
  <c r="B195" i="1"/>
  <c r="C195" i="1"/>
  <c r="D195" i="1"/>
  <c r="B196" i="1"/>
  <c r="C196" i="1"/>
  <c r="D196" i="1"/>
  <c r="B197" i="1"/>
  <c r="C197" i="1"/>
  <c r="D197" i="1"/>
  <c r="B198" i="1"/>
  <c r="C198" i="1"/>
  <c r="D198" i="1"/>
  <c r="B199" i="1"/>
  <c r="C199" i="1"/>
  <c r="D199" i="1"/>
  <c r="B200" i="1"/>
  <c r="C200" i="1"/>
  <c r="D200" i="1"/>
  <c r="B201" i="1"/>
  <c r="C201" i="1"/>
  <c r="D201" i="1"/>
  <c r="B202" i="1"/>
  <c r="C202" i="1"/>
  <c r="D202" i="1"/>
  <c r="B203" i="1"/>
  <c r="C203" i="1"/>
  <c r="D203" i="1"/>
  <c r="B204" i="1"/>
  <c r="C204" i="1"/>
  <c r="D204" i="1"/>
  <c r="B205" i="1"/>
  <c r="C205" i="1"/>
  <c r="D205" i="1"/>
  <c r="B206" i="1"/>
  <c r="C206" i="1"/>
  <c r="D206" i="1"/>
  <c r="B207" i="1"/>
  <c r="C207" i="1"/>
  <c r="D207" i="1"/>
  <c r="B208" i="1"/>
  <c r="C208" i="1"/>
  <c r="D208" i="1"/>
  <c r="B209" i="1"/>
  <c r="C209" i="1"/>
  <c r="D209" i="1"/>
  <c r="B210" i="1"/>
  <c r="C210" i="1"/>
  <c r="D210" i="1"/>
  <c r="B211" i="1"/>
  <c r="C211" i="1"/>
  <c r="D211" i="1"/>
  <c r="B212" i="1"/>
  <c r="C212" i="1"/>
  <c r="D212" i="1"/>
  <c r="B213" i="1"/>
  <c r="C213" i="1"/>
  <c r="D213" i="1"/>
  <c r="B214" i="1"/>
  <c r="C214" i="1"/>
  <c r="D214" i="1"/>
  <c r="B215" i="1"/>
  <c r="C215" i="1"/>
  <c r="D215" i="1"/>
  <c r="B216" i="1"/>
  <c r="C216" i="1"/>
  <c r="D216" i="1"/>
  <c r="B217" i="1"/>
  <c r="C217" i="1"/>
  <c r="D217" i="1"/>
  <c r="B218" i="1"/>
  <c r="C218" i="1"/>
  <c r="D218" i="1"/>
  <c r="B219" i="1"/>
  <c r="C219" i="1"/>
  <c r="D219" i="1"/>
  <c r="B220" i="1"/>
  <c r="C220" i="1"/>
  <c r="D220" i="1"/>
  <c r="B221" i="1"/>
  <c r="C221" i="1"/>
  <c r="D221" i="1"/>
  <c r="B222" i="1"/>
  <c r="C222" i="1"/>
  <c r="D222" i="1"/>
  <c r="B223" i="1"/>
  <c r="C223" i="1"/>
  <c r="D223" i="1"/>
  <c r="B224" i="1"/>
  <c r="C224" i="1"/>
  <c r="D224" i="1"/>
  <c r="B225" i="1"/>
  <c r="C225" i="1"/>
  <c r="D225" i="1"/>
  <c r="B226" i="1"/>
  <c r="C226" i="1"/>
  <c r="D226" i="1"/>
  <c r="B227" i="1"/>
  <c r="C227" i="1"/>
  <c r="D227" i="1"/>
  <c r="B228" i="1"/>
  <c r="C228" i="1"/>
  <c r="D228" i="1"/>
  <c r="B229" i="1"/>
  <c r="C229" i="1"/>
  <c r="D229" i="1"/>
  <c r="B230" i="1"/>
  <c r="C230" i="1"/>
  <c r="D230" i="1"/>
  <c r="B231" i="1"/>
  <c r="C231" i="1"/>
  <c r="D231" i="1"/>
  <c r="B232" i="1"/>
  <c r="C232" i="1"/>
  <c r="D232" i="1"/>
  <c r="B233" i="1"/>
  <c r="C233" i="1"/>
  <c r="D233" i="1"/>
  <c r="B234" i="1"/>
  <c r="C234" i="1"/>
  <c r="D234" i="1"/>
  <c r="B235" i="1"/>
  <c r="C235" i="1"/>
  <c r="D235" i="1"/>
  <c r="B236" i="1"/>
  <c r="C236" i="1"/>
  <c r="D236" i="1"/>
  <c r="B237" i="1"/>
  <c r="C237" i="1"/>
  <c r="D237" i="1"/>
  <c r="B238" i="1"/>
  <c r="C238" i="1"/>
  <c r="D238" i="1"/>
  <c r="B239" i="1"/>
  <c r="C239" i="1"/>
  <c r="D239" i="1"/>
  <c r="B240" i="1"/>
  <c r="C240" i="1"/>
  <c r="D240" i="1"/>
  <c r="B241" i="1"/>
  <c r="C241" i="1"/>
  <c r="D241" i="1"/>
  <c r="B242" i="1"/>
  <c r="C242" i="1"/>
  <c r="D242" i="1"/>
  <c r="B243" i="1"/>
  <c r="C243" i="1"/>
  <c r="D243" i="1"/>
  <c r="B244" i="1"/>
  <c r="C244" i="1"/>
  <c r="D244" i="1"/>
  <c r="B245" i="1"/>
  <c r="C245" i="1"/>
  <c r="D245" i="1"/>
  <c r="B246" i="1"/>
  <c r="C246" i="1"/>
  <c r="D246" i="1"/>
  <c r="B247" i="1"/>
  <c r="C247" i="1"/>
  <c r="D247" i="1"/>
  <c r="B248" i="1"/>
  <c r="C248" i="1"/>
  <c r="D248" i="1"/>
  <c r="B249" i="1"/>
  <c r="C249" i="1"/>
  <c r="D249" i="1"/>
  <c r="B250" i="1"/>
  <c r="C250" i="1"/>
  <c r="D250" i="1"/>
  <c r="B251" i="1"/>
  <c r="C251" i="1"/>
  <c r="D251" i="1"/>
  <c r="B252" i="1"/>
  <c r="C252" i="1"/>
  <c r="D252" i="1"/>
  <c r="B253" i="1"/>
  <c r="C253" i="1"/>
  <c r="D253" i="1"/>
  <c r="B254" i="1"/>
  <c r="C254" i="1"/>
  <c r="D254" i="1"/>
  <c r="B255" i="1"/>
  <c r="C255" i="1"/>
  <c r="D255" i="1"/>
  <c r="B256" i="1"/>
  <c r="C256" i="1"/>
  <c r="D256" i="1"/>
  <c r="B257" i="1"/>
  <c r="C257" i="1"/>
  <c r="D257" i="1"/>
  <c r="B258" i="1"/>
  <c r="C258" i="1"/>
  <c r="D258" i="1"/>
  <c r="B259" i="1"/>
  <c r="C259" i="1"/>
  <c r="D259" i="1"/>
  <c r="B260" i="1"/>
  <c r="C260" i="1"/>
  <c r="D260" i="1"/>
  <c r="B261" i="1"/>
  <c r="C261" i="1"/>
  <c r="D261" i="1"/>
  <c r="B262" i="1"/>
  <c r="C262" i="1"/>
  <c r="D262" i="1"/>
  <c r="B263" i="1"/>
  <c r="C263" i="1"/>
  <c r="D263" i="1"/>
  <c r="B264" i="1"/>
  <c r="C264" i="1"/>
  <c r="D264" i="1"/>
  <c r="B265" i="1"/>
  <c r="C265" i="1"/>
  <c r="D265" i="1"/>
  <c r="B266" i="1"/>
  <c r="C266" i="1"/>
  <c r="D266" i="1"/>
  <c r="B267" i="1"/>
  <c r="C267" i="1"/>
  <c r="D267" i="1"/>
  <c r="B268" i="1"/>
  <c r="C268" i="1"/>
  <c r="D268" i="1"/>
  <c r="B269" i="1"/>
  <c r="C269" i="1"/>
  <c r="D269" i="1"/>
  <c r="B270" i="1"/>
  <c r="C270" i="1"/>
  <c r="D270" i="1"/>
  <c r="B271" i="1"/>
  <c r="C271" i="1"/>
  <c r="D271" i="1"/>
  <c r="B272" i="1"/>
  <c r="C272" i="1"/>
  <c r="D272" i="1"/>
  <c r="B273" i="1"/>
  <c r="C273" i="1"/>
  <c r="D273" i="1"/>
  <c r="B274" i="1"/>
  <c r="C274" i="1"/>
  <c r="D274" i="1"/>
  <c r="B275" i="1"/>
  <c r="C275" i="1"/>
  <c r="D275" i="1"/>
  <c r="B276" i="1"/>
  <c r="C276" i="1"/>
  <c r="D276" i="1"/>
  <c r="B277" i="1"/>
  <c r="C277" i="1"/>
  <c r="D277" i="1"/>
  <c r="B278" i="1"/>
  <c r="C278" i="1"/>
  <c r="D278" i="1"/>
  <c r="B279" i="1"/>
  <c r="C279" i="1"/>
  <c r="D279" i="1"/>
  <c r="B280" i="1"/>
  <c r="C280" i="1"/>
  <c r="D280" i="1"/>
  <c r="B281" i="1"/>
  <c r="C281" i="1"/>
  <c r="D281" i="1"/>
  <c r="B282" i="1"/>
  <c r="C282" i="1"/>
  <c r="D282" i="1"/>
  <c r="B283" i="1"/>
  <c r="C283" i="1"/>
  <c r="D283" i="1"/>
  <c r="B284" i="1"/>
  <c r="C284" i="1"/>
  <c r="D284" i="1"/>
  <c r="B285" i="1"/>
  <c r="C285" i="1"/>
  <c r="D285" i="1"/>
  <c r="B286" i="1"/>
  <c r="C286" i="1"/>
  <c r="D286" i="1"/>
  <c r="B287" i="1"/>
  <c r="C287" i="1"/>
  <c r="D287" i="1"/>
  <c r="B288" i="1"/>
  <c r="C288" i="1"/>
  <c r="D288" i="1"/>
  <c r="B289" i="1"/>
  <c r="C289" i="1"/>
  <c r="D289" i="1"/>
  <c r="B290" i="1"/>
  <c r="C290" i="1"/>
  <c r="D290" i="1"/>
  <c r="B291" i="1"/>
  <c r="C291" i="1"/>
  <c r="D291" i="1"/>
  <c r="B292" i="1"/>
  <c r="C292" i="1"/>
  <c r="D292" i="1"/>
  <c r="B293" i="1"/>
  <c r="C293" i="1"/>
  <c r="D293" i="1"/>
  <c r="B294" i="1"/>
  <c r="C294" i="1"/>
  <c r="D294" i="1"/>
  <c r="B295" i="1"/>
  <c r="C295" i="1"/>
  <c r="D295" i="1"/>
  <c r="B296" i="1"/>
  <c r="C296" i="1"/>
  <c r="D296" i="1"/>
  <c r="B297" i="1"/>
  <c r="C297" i="1"/>
  <c r="D297" i="1"/>
  <c r="B298" i="1"/>
  <c r="C298" i="1"/>
  <c r="D298" i="1"/>
  <c r="B299" i="1"/>
  <c r="C299" i="1"/>
  <c r="D299" i="1"/>
  <c r="B300" i="1"/>
  <c r="C300" i="1"/>
  <c r="D300" i="1"/>
  <c r="B301" i="1"/>
  <c r="C301" i="1"/>
  <c r="D301" i="1"/>
  <c r="B302" i="1"/>
  <c r="C302" i="1"/>
  <c r="D302" i="1"/>
  <c r="B303" i="1"/>
  <c r="C303" i="1"/>
  <c r="D303" i="1"/>
  <c r="B304" i="1"/>
  <c r="C304" i="1"/>
  <c r="D304" i="1"/>
  <c r="B305" i="1"/>
  <c r="C305" i="1"/>
  <c r="D305" i="1"/>
  <c r="B306" i="1"/>
  <c r="C306" i="1"/>
  <c r="D306" i="1"/>
  <c r="B307" i="1"/>
  <c r="C307" i="1"/>
  <c r="D307" i="1"/>
  <c r="B308" i="1"/>
  <c r="C308" i="1"/>
  <c r="D308" i="1"/>
  <c r="B309" i="1"/>
  <c r="C309" i="1"/>
  <c r="D309" i="1"/>
  <c r="B310" i="1"/>
  <c r="C310" i="1"/>
  <c r="D310" i="1"/>
  <c r="B311" i="1"/>
  <c r="C311" i="1"/>
  <c r="D311" i="1"/>
  <c r="B312" i="1"/>
  <c r="C312" i="1"/>
  <c r="D312" i="1"/>
  <c r="B313" i="1"/>
  <c r="C313" i="1"/>
  <c r="D313" i="1"/>
  <c r="B314" i="1"/>
  <c r="C314" i="1"/>
  <c r="D314" i="1"/>
  <c r="B315" i="1"/>
  <c r="C315" i="1"/>
  <c r="D315" i="1"/>
  <c r="B316" i="1"/>
  <c r="C316" i="1"/>
  <c r="D316" i="1"/>
  <c r="B317" i="1"/>
  <c r="C317" i="1"/>
  <c r="D317" i="1"/>
  <c r="B318" i="1"/>
  <c r="C318" i="1"/>
  <c r="D318" i="1"/>
  <c r="B319" i="1"/>
  <c r="C319" i="1"/>
  <c r="D319" i="1"/>
  <c r="B320" i="1"/>
  <c r="C320" i="1"/>
  <c r="D320" i="1"/>
  <c r="B321" i="1"/>
  <c r="C321" i="1"/>
  <c r="D321" i="1"/>
  <c r="B322" i="1"/>
  <c r="C322" i="1"/>
  <c r="D322" i="1"/>
  <c r="B323" i="1"/>
  <c r="C323" i="1"/>
  <c r="D323" i="1"/>
  <c r="B324" i="1"/>
  <c r="C324" i="1"/>
  <c r="D324" i="1"/>
  <c r="B325" i="1"/>
  <c r="C325" i="1"/>
  <c r="D325" i="1"/>
  <c r="B326" i="1"/>
  <c r="C326" i="1"/>
  <c r="D326" i="1"/>
  <c r="B327" i="1"/>
  <c r="C327" i="1"/>
  <c r="D327" i="1"/>
  <c r="B328" i="1"/>
  <c r="C328" i="1"/>
  <c r="D328" i="1"/>
  <c r="B329" i="1"/>
  <c r="C329" i="1"/>
  <c r="D329" i="1"/>
  <c r="B330" i="1"/>
  <c r="C330" i="1"/>
  <c r="D330" i="1"/>
  <c r="B331" i="1"/>
  <c r="C331" i="1"/>
  <c r="D331" i="1"/>
  <c r="B332" i="1"/>
  <c r="C332" i="1"/>
  <c r="D332" i="1"/>
  <c r="B333" i="1"/>
  <c r="C333" i="1"/>
  <c r="D333" i="1"/>
  <c r="B334" i="1"/>
  <c r="C334" i="1"/>
  <c r="D334" i="1"/>
  <c r="B335" i="1"/>
  <c r="C335" i="1"/>
  <c r="D335" i="1"/>
  <c r="B336" i="1"/>
  <c r="C336" i="1"/>
  <c r="D336" i="1"/>
  <c r="B337" i="1"/>
  <c r="C337" i="1"/>
  <c r="D337" i="1"/>
  <c r="B338" i="1"/>
  <c r="C338" i="1"/>
  <c r="D338" i="1"/>
  <c r="B339" i="1"/>
  <c r="C339" i="1"/>
  <c r="D339" i="1"/>
  <c r="B340" i="1"/>
  <c r="C340" i="1"/>
  <c r="D340" i="1"/>
  <c r="B341" i="1"/>
  <c r="C341" i="1"/>
  <c r="D341" i="1"/>
  <c r="B342" i="1"/>
  <c r="C342" i="1"/>
  <c r="D342" i="1"/>
  <c r="B343" i="1"/>
  <c r="C343" i="1"/>
  <c r="D343" i="1"/>
  <c r="B344" i="1"/>
  <c r="C344" i="1"/>
  <c r="D344" i="1"/>
  <c r="B345" i="1"/>
  <c r="C345" i="1"/>
  <c r="D345" i="1"/>
  <c r="B346" i="1"/>
  <c r="C346" i="1"/>
  <c r="D346" i="1"/>
  <c r="B347" i="1"/>
  <c r="C347" i="1"/>
  <c r="D347" i="1"/>
  <c r="B348" i="1"/>
  <c r="C348" i="1"/>
  <c r="D348" i="1"/>
  <c r="B349" i="1"/>
  <c r="C349" i="1"/>
  <c r="D349" i="1"/>
  <c r="B350" i="1"/>
  <c r="C350" i="1"/>
  <c r="D350" i="1"/>
  <c r="B351" i="1"/>
  <c r="C351" i="1"/>
  <c r="D351" i="1"/>
  <c r="B352" i="1"/>
  <c r="C352" i="1"/>
  <c r="D352" i="1"/>
  <c r="B353" i="1"/>
  <c r="C353" i="1"/>
  <c r="D353" i="1"/>
  <c r="B354" i="1"/>
  <c r="C354" i="1"/>
  <c r="D354" i="1"/>
  <c r="B355" i="1"/>
  <c r="C355" i="1"/>
  <c r="D355" i="1"/>
  <c r="B356" i="1"/>
  <c r="C356" i="1"/>
  <c r="D356" i="1"/>
  <c r="B357" i="1"/>
  <c r="C357" i="1"/>
  <c r="D357" i="1"/>
  <c r="B358" i="1"/>
  <c r="C358" i="1"/>
  <c r="D358" i="1"/>
  <c r="B359" i="1"/>
  <c r="C359" i="1"/>
  <c r="D359" i="1"/>
  <c r="B360" i="1"/>
  <c r="C360" i="1"/>
  <c r="D360" i="1"/>
  <c r="B361" i="1"/>
  <c r="C361" i="1"/>
  <c r="D361" i="1"/>
  <c r="B362" i="1"/>
  <c r="C362" i="1"/>
  <c r="D362" i="1"/>
  <c r="B363" i="1"/>
  <c r="C363" i="1"/>
  <c r="D363" i="1"/>
  <c r="B364" i="1"/>
  <c r="C364" i="1"/>
  <c r="D364" i="1"/>
  <c r="B365" i="1"/>
  <c r="C365" i="1"/>
  <c r="D365" i="1"/>
  <c r="B366" i="1"/>
  <c r="C366" i="1"/>
  <c r="D366" i="1"/>
  <c r="B367" i="1"/>
  <c r="C367" i="1"/>
  <c r="D367" i="1"/>
  <c r="B368" i="1"/>
  <c r="C368" i="1"/>
  <c r="D368" i="1"/>
  <c r="B369" i="1"/>
  <c r="C369" i="1"/>
  <c r="D369" i="1"/>
  <c r="B370" i="1"/>
  <c r="C370" i="1"/>
  <c r="D370" i="1"/>
  <c r="B371" i="1"/>
  <c r="C371" i="1"/>
  <c r="D371" i="1"/>
  <c r="B372" i="1"/>
  <c r="C372" i="1"/>
  <c r="D372" i="1"/>
  <c r="B373" i="1"/>
  <c r="C373" i="1"/>
  <c r="D373" i="1"/>
  <c r="B374" i="1"/>
  <c r="C374" i="1"/>
  <c r="D374" i="1"/>
  <c r="B375" i="1"/>
  <c r="C375" i="1"/>
  <c r="D375" i="1"/>
  <c r="B376" i="1"/>
  <c r="C376" i="1"/>
  <c r="D376" i="1"/>
  <c r="B377" i="1"/>
  <c r="C377" i="1"/>
  <c r="D377" i="1"/>
  <c r="B378" i="1"/>
  <c r="C378" i="1"/>
  <c r="D378" i="1"/>
  <c r="B379" i="1"/>
  <c r="C379" i="1"/>
  <c r="D379" i="1"/>
  <c r="B380" i="1"/>
  <c r="C380" i="1"/>
  <c r="D380" i="1"/>
  <c r="B381" i="1"/>
  <c r="C381" i="1"/>
  <c r="D381" i="1"/>
  <c r="B382" i="1"/>
  <c r="C382" i="1"/>
  <c r="D382" i="1"/>
  <c r="B383" i="1"/>
  <c r="C383" i="1"/>
  <c r="D383" i="1"/>
  <c r="B384" i="1"/>
  <c r="C384" i="1"/>
  <c r="D384" i="1"/>
  <c r="B385" i="1"/>
  <c r="C385" i="1"/>
  <c r="D385" i="1"/>
  <c r="B386" i="1"/>
  <c r="C386" i="1"/>
  <c r="D386" i="1"/>
  <c r="B387" i="1"/>
  <c r="C387" i="1"/>
  <c r="D387" i="1"/>
  <c r="B388" i="1"/>
  <c r="C388" i="1"/>
  <c r="D388" i="1"/>
  <c r="B389" i="1"/>
  <c r="C389" i="1"/>
  <c r="D389" i="1"/>
  <c r="B390" i="1"/>
  <c r="C390" i="1"/>
  <c r="D390" i="1"/>
  <c r="B391" i="1"/>
  <c r="C391" i="1"/>
  <c r="D391" i="1"/>
  <c r="B392" i="1"/>
  <c r="C392" i="1"/>
  <c r="D392" i="1"/>
  <c r="B393" i="1"/>
  <c r="C393" i="1"/>
  <c r="D393" i="1"/>
  <c r="B394" i="1"/>
  <c r="C394" i="1"/>
  <c r="D394" i="1"/>
  <c r="B395" i="1"/>
  <c r="C395" i="1"/>
  <c r="D395" i="1"/>
  <c r="B396" i="1"/>
  <c r="C396" i="1"/>
  <c r="D396" i="1"/>
  <c r="B397" i="1"/>
  <c r="C397" i="1"/>
  <c r="D397" i="1"/>
  <c r="B398" i="1"/>
  <c r="C398" i="1"/>
  <c r="D398" i="1"/>
  <c r="B399" i="1"/>
  <c r="C399" i="1"/>
  <c r="D399" i="1"/>
  <c r="B400" i="1"/>
  <c r="C400" i="1"/>
  <c r="D400" i="1"/>
  <c r="B401" i="1"/>
  <c r="C401" i="1"/>
  <c r="D401" i="1"/>
  <c r="B402" i="1"/>
  <c r="C402" i="1"/>
  <c r="D402" i="1"/>
  <c r="B403" i="1"/>
  <c r="C403" i="1"/>
  <c r="D403" i="1"/>
  <c r="B404" i="1"/>
  <c r="C404" i="1"/>
  <c r="D404" i="1"/>
  <c r="B405" i="1"/>
  <c r="C405" i="1"/>
  <c r="D405" i="1"/>
  <c r="B406" i="1"/>
  <c r="C406" i="1"/>
  <c r="D406" i="1"/>
  <c r="B407" i="1"/>
  <c r="C407" i="1"/>
  <c r="D407" i="1"/>
  <c r="B408" i="1"/>
  <c r="C408" i="1"/>
  <c r="D408" i="1"/>
  <c r="B409" i="1"/>
  <c r="C409" i="1"/>
  <c r="D409" i="1"/>
  <c r="B410" i="1"/>
  <c r="C410" i="1"/>
  <c r="D410" i="1"/>
  <c r="B411" i="1"/>
  <c r="C411" i="1"/>
  <c r="D411" i="1"/>
  <c r="B412" i="1"/>
  <c r="C412" i="1"/>
  <c r="D412" i="1"/>
  <c r="B413" i="1"/>
  <c r="C413" i="1"/>
  <c r="D413" i="1"/>
  <c r="B414" i="1"/>
  <c r="C414" i="1"/>
  <c r="D414" i="1"/>
  <c r="B415" i="1"/>
  <c r="C415" i="1"/>
  <c r="D415" i="1"/>
  <c r="B416" i="1"/>
  <c r="C416" i="1"/>
  <c r="D416" i="1"/>
  <c r="B417" i="1"/>
  <c r="C417" i="1"/>
  <c r="D417" i="1"/>
  <c r="B418" i="1"/>
  <c r="C418" i="1"/>
  <c r="D418" i="1"/>
  <c r="B419" i="1"/>
  <c r="C419" i="1"/>
  <c r="D419" i="1"/>
  <c r="B420" i="1"/>
  <c r="C420" i="1"/>
  <c r="D420" i="1"/>
  <c r="B421" i="1"/>
  <c r="C421" i="1"/>
  <c r="D421" i="1"/>
  <c r="B422" i="1"/>
  <c r="C422" i="1"/>
  <c r="D422" i="1"/>
  <c r="B423" i="1"/>
  <c r="C423" i="1"/>
  <c r="D423" i="1"/>
  <c r="B424" i="1"/>
  <c r="C424" i="1"/>
  <c r="D424" i="1"/>
  <c r="B425" i="1"/>
  <c r="C425" i="1"/>
  <c r="D425" i="1"/>
  <c r="B426" i="1"/>
  <c r="C426" i="1"/>
  <c r="D426" i="1"/>
  <c r="B427" i="1"/>
  <c r="C427" i="1"/>
  <c r="D427" i="1"/>
  <c r="B428" i="1"/>
  <c r="C428" i="1"/>
  <c r="D428" i="1"/>
  <c r="B429" i="1"/>
  <c r="C429" i="1"/>
  <c r="D429" i="1"/>
  <c r="B430" i="1"/>
  <c r="C430" i="1"/>
  <c r="D430" i="1"/>
  <c r="B431" i="1"/>
  <c r="C431" i="1"/>
  <c r="D431" i="1"/>
  <c r="B432" i="1"/>
  <c r="C432" i="1"/>
  <c r="D432" i="1"/>
  <c r="B433" i="1"/>
  <c r="C433" i="1"/>
  <c r="D433" i="1"/>
  <c r="B434" i="1"/>
  <c r="C434" i="1"/>
  <c r="D434" i="1"/>
  <c r="B435" i="1"/>
  <c r="C435" i="1"/>
  <c r="D435" i="1"/>
  <c r="B436" i="1"/>
  <c r="C436" i="1"/>
  <c r="D436" i="1"/>
  <c r="B437" i="1"/>
  <c r="C437" i="1"/>
  <c r="D437" i="1"/>
  <c r="B438" i="1"/>
  <c r="C438" i="1"/>
  <c r="D438" i="1"/>
  <c r="B439" i="1"/>
  <c r="C439" i="1"/>
  <c r="D439" i="1"/>
  <c r="B440" i="1"/>
  <c r="C440" i="1"/>
  <c r="D440" i="1"/>
  <c r="B441" i="1"/>
  <c r="C441" i="1"/>
  <c r="D441" i="1"/>
  <c r="B442" i="1"/>
  <c r="C442" i="1"/>
  <c r="D442" i="1"/>
  <c r="B443" i="1"/>
  <c r="C443" i="1"/>
  <c r="D443" i="1"/>
  <c r="B444" i="1"/>
  <c r="C444" i="1"/>
  <c r="D444" i="1"/>
  <c r="B445" i="1"/>
  <c r="C445" i="1"/>
  <c r="D445" i="1"/>
  <c r="B446" i="1"/>
  <c r="C446" i="1"/>
  <c r="D446" i="1"/>
  <c r="B447" i="1"/>
  <c r="C447" i="1"/>
  <c r="D447" i="1"/>
  <c r="B448" i="1"/>
  <c r="C448" i="1"/>
  <c r="D448" i="1"/>
  <c r="B449" i="1"/>
  <c r="C449" i="1"/>
  <c r="D449" i="1"/>
  <c r="B450" i="1"/>
  <c r="C450" i="1"/>
  <c r="D450" i="1"/>
  <c r="B451" i="1"/>
  <c r="C451" i="1"/>
  <c r="D451" i="1"/>
  <c r="B452" i="1"/>
  <c r="C452" i="1"/>
  <c r="D452" i="1"/>
  <c r="B453" i="1"/>
  <c r="C453" i="1"/>
  <c r="D453" i="1"/>
  <c r="B454" i="1"/>
  <c r="C454" i="1"/>
  <c r="D454" i="1"/>
  <c r="B455" i="1"/>
  <c r="C455" i="1"/>
  <c r="D455" i="1"/>
  <c r="B456" i="1"/>
  <c r="C456" i="1"/>
  <c r="D456" i="1"/>
  <c r="B457" i="1"/>
  <c r="C457" i="1"/>
  <c r="D457" i="1"/>
  <c r="B458" i="1"/>
  <c r="C458" i="1"/>
  <c r="D458" i="1"/>
  <c r="B459" i="1"/>
  <c r="C459" i="1"/>
  <c r="D459" i="1"/>
  <c r="B460" i="1"/>
  <c r="C460" i="1"/>
  <c r="D460" i="1"/>
  <c r="B461" i="1"/>
  <c r="C461" i="1"/>
  <c r="D461" i="1"/>
  <c r="B462" i="1"/>
  <c r="C462" i="1"/>
  <c r="D462" i="1"/>
  <c r="B463" i="1"/>
  <c r="C463" i="1"/>
  <c r="D463" i="1"/>
  <c r="B464" i="1"/>
  <c r="C464" i="1"/>
  <c r="D464" i="1"/>
  <c r="B465" i="1"/>
  <c r="C465" i="1"/>
  <c r="D465" i="1"/>
  <c r="B466" i="1"/>
  <c r="C466" i="1"/>
  <c r="D466" i="1"/>
  <c r="B467" i="1"/>
  <c r="C467" i="1"/>
  <c r="D467" i="1"/>
  <c r="B468" i="1"/>
  <c r="C468" i="1"/>
  <c r="D468" i="1"/>
  <c r="B469" i="1"/>
  <c r="C469" i="1"/>
  <c r="D469" i="1"/>
  <c r="B470" i="1"/>
  <c r="C470" i="1"/>
  <c r="D470" i="1"/>
  <c r="B471" i="1"/>
  <c r="C471" i="1"/>
  <c r="D471" i="1"/>
  <c r="B472" i="1"/>
  <c r="C472" i="1"/>
  <c r="D472" i="1"/>
  <c r="B473" i="1"/>
  <c r="C473" i="1"/>
  <c r="D473" i="1"/>
  <c r="B474" i="1"/>
  <c r="C474" i="1"/>
  <c r="D474" i="1"/>
  <c r="B475" i="1"/>
  <c r="C475" i="1"/>
  <c r="D475" i="1"/>
  <c r="B476" i="1"/>
  <c r="C476" i="1"/>
  <c r="D476" i="1"/>
  <c r="B477" i="1"/>
  <c r="C477" i="1"/>
  <c r="D477" i="1"/>
  <c r="B478" i="1"/>
  <c r="C478" i="1"/>
  <c r="D478" i="1"/>
  <c r="B479" i="1"/>
  <c r="C479" i="1"/>
  <c r="D479" i="1"/>
  <c r="B480" i="1"/>
  <c r="C480" i="1"/>
  <c r="D480" i="1"/>
  <c r="B481" i="1"/>
  <c r="C481" i="1"/>
  <c r="D481" i="1"/>
  <c r="B482" i="1"/>
  <c r="C482" i="1"/>
  <c r="D482" i="1"/>
  <c r="B483" i="1"/>
  <c r="C483" i="1"/>
  <c r="D483" i="1"/>
  <c r="B484" i="1"/>
  <c r="C484" i="1"/>
  <c r="D484" i="1"/>
  <c r="B485" i="1"/>
  <c r="C485" i="1"/>
  <c r="D485" i="1"/>
  <c r="B486" i="1"/>
  <c r="C486" i="1"/>
  <c r="D486" i="1"/>
  <c r="B487" i="1"/>
  <c r="C487" i="1"/>
  <c r="D487" i="1"/>
  <c r="B488" i="1"/>
  <c r="C488" i="1"/>
  <c r="D488" i="1"/>
  <c r="B489" i="1"/>
  <c r="C489" i="1"/>
  <c r="D489" i="1"/>
  <c r="B490" i="1"/>
  <c r="C490" i="1"/>
  <c r="D490" i="1"/>
  <c r="B491" i="1"/>
  <c r="C491" i="1"/>
  <c r="D491" i="1"/>
  <c r="B492" i="1"/>
  <c r="C492" i="1"/>
  <c r="D492" i="1"/>
  <c r="B493" i="1"/>
  <c r="C493" i="1"/>
  <c r="D493" i="1"/>
  <c r="B494" i="1"/>
  <c r="C494" i="1"/>
  <c r="D494" i="1"/>
  <c r="B495" i="1"/>
  <c r="C495" i="1"/>
  <c r="D495" i="1"/>
  <c r="B496" i="1"/>
  <c r="C496" i="1"/>
  <c r="D496" i="1"/>
  <c r="B497" i="1"/>
  <c r="C497" i="1"/>
  <c r="D497" i="1"/>
  <c r="B498" i="1"/>
  <c r="C498" i="1"/>
  <c r="D498" i="1"/>
  <c r="B499" i="1"/>
  <c r="C499" i="1"/>
  <c r="D499" i="1"/>
  <c r="B500" i="1"/>
  <c r="C500" i="1"/>
  <c r="D500" i="1"/>
  <c r="B501" i="1"/>
  <c r="C501" i="1"/>
  <c r="D501" i="1"/>
  <c r="B502" i="1"/>
  <c r="C502" i="1"/>
  <c r="D502" i="1"/>
  <c r="B503" i="1"/>
  <c r="C503" i="1"/>
  <c r="D503" i="1"/>
  <c r="B504" i="1"/>
  <c r="C504" i="1"/>
  <c r="D504" i="1"/>
  <c r="B505" i="1"/>
  <c r="C505" i="1"/>
  <c r="D505" i="1"/>
  <c r="B506" i="1"/>
  <c r="C506" i="1"/>
  <c r="D506" i="1"/>
  <c r="B507" i="1"/>
  <c r="C507" i="1"/>
  <c r="D507" i="1"/>
  <c r="B508" i="1"/>
  <c r="C508" i="1"/>
  <c r="D508" i="1"/>
  <c r="B509" i="1"/>
  <c r="C509" i="1"/>
  <c r="D509" i="1"/>
  <c r="B510" i="1"/>
  <c r="C510" i="1"/>
  <c r="D510" i="1"/>
  <c r="B511" i="1"/>
  <c r="C511" i="1"/>
  <c r="D511" i="1"/>
  <c r="B512" i="1"/>
  <c r="C512" i="1"/>
  <c r="D512" i="1"/>
  <c r="B513" i="1"/>
  <c r="C513" i="1"/>
  <c r="D513" i="1"/>
  <c r="B514" i="1"/>
  <c r="C514" i="1"/>
  <c r="D514" i="1"/>
  <c r="B515" i="1"/>
  <c r="C515" i="1"/>
  <c r="D515" i="1"/>
  <c r="B516" i="1"/>
  <c r="C516" i="1"/>
  <c r="D516" i="1"/>
  <c r="B517" i="1"/>
  <c r="C517" i="1"/>
  <c r="D517" i="1"/>
  <c r="B518" i="1"/>
  <c r="C518" i="1"/>
  <c r="D518" i="1"/>
  <c r="B519" i="1"/>
  <c r="C519" i="1"/>
  <c r="D519" i="1"/>
  <c r="B520" i="1"/>
  <c r="C520" i="1"/>
  <c r="D520" i="1"/>
  <c r="B521" i="1"/>
  <c r="C521" i="1"/>
  <c r="D521" i="1"/>
  <c r="B522" i="1"/>
  <c r="C522" i="1"/>
  <c r="D522" i="1"/>
  <c r="B523" i="1"/>
  <c r="C523" i="1"/>
  <c r="D523" i="1"/>
  <c r="B524" i="1"/>
  <c r="C524" i="1"/>
  <c r="D524" i="1"/>
  <c r="B525" i="1"/>
  <c r="C525" i="1"/>
  <c r="D525" i="1"/>
  <c r="B526" i="1"/>
  <c r="C526" i="1"/>
  <c r="D526" i="1"/>
  <c r="B527" i="1"/>
  <c r="C527" i="1"/>
  <c r="D527" i="1"/>
  <c r="B528" i="1"/>
  <c r="C528" i="1"/>
  <c r="D528" i="1"/>
  <c r="B529" i="1"/>
  <c r="C529" i="1"/>
  <c r="D529" i="1"/>
  <c r="B530" i="1"/>
  <c r="C530" i="1"/>
  <c r="D530" i="1"/>
  <c r="B531" i="1"/>
  <c r="C531" i="1"/>
  <c r="D531" i="1"/>
  <c r="B532" i="1"/>
  <c r="C532" i="1"/>
  <c r="D532" i="1"/>
  <c r="B533" i="1"/>
  <c r="C533" i="1"/>
  <c r="D533" i="1"/>
  <c r="B534" i="1"/>
  <c r="C534" i="1"/>
  <c r="D534" i="1"/>
  <c r="B535" i="1"/>
  <c r="C535" i="1"/>
  <c r="D535" i="1"/>
  <c r="B536" i="1"/>
  <c r="C536" i="1"/>
  <c r="D536" i="1"/>
  <c r="B537" i="1"/>
  <c r="C537" i="1"/>
  <c r="D537" i="1"/>
  <c r="B538" i="1"/>
  <c r="C538" i="1"/>
  <c r="D538" i="1"/>
  <c r="B539" i="1"/>
  <c r="C539" i="1"/>
  <c r="D539" i="1"/>
  <c r="B540" i="1"/>
  <c r="C540" i="1"/>
  <c r="D540" i="1"/>
  <c r="B541" i="1"/>
  <c r="C541" i="1"/>
  <c r="D541" i="1"/>
  <c r="B542" i="1"/>
  <c r="C542" i="1"/>
  <c r="D542" i="1"/>
  <c r="B543" i="1"/>
  <c r="C543" i="1"/>
  <c r="D543" i="1"/>
  <c r="B544" i="1"/>
  <c r="C544" i="1"/>
  <c r="D544" i="1"/>
  <c r="B545" i="1"/>
  <c r="C545" i="1"/>
  <c r="D545" i="1"/>
  <c r="B546" i="1"/>
  <c r="C546" i="1"/>
  <c r="D546" i="1"/>
  <c r="B547" i="1"/>
  <c r="C547" i="1"/>
  <c r="D547" i="1"/>
  <c r="B548" i="1"/>
  <c r="C548" i="1"/>
  <c r="D548" i="1"/>
  <c r="B549" i="1"/>
  <c r="C549" i="1"/>
  <c r="D549" i="1"/>
  <c r="B550" i="1"/>
  <c r="C550" i="1"/>
  <c r="D550" i="1"/>
  <c r="B551" i="1"/>
  <c r="C551" i="1"/>
  <c r="D551" i="1"/>
  <c r="B552" i="1"/>
  <c r="C552" i="1"/>
  <c r="D552" i="1"/>
  <c r="B553" i="1"/>
  <c r="C553" i="1"/>
  <c r="D553" i="1"/>
  <c r="B554" i="1"/>
  <c r="C554" i="1"/>
  <c r="D554" i="1"/>
  <c r="B555" i="1"/>
  <c r="C555" i="1"/>
  <c r="D555" i="1"/>
  <c r="B556" i="1"/>
  <c r="C556" i="1"/>
  <c r="D556" i="1"/>
  <c r="B557" i="1"/>
  <c r="C557" i="1"/>
  <c r="D557" i="1"/>
  <c r="B558" i="1"/>
  <c r="C558" i="1"/>
  <c r="D558" i="1"/>
  <c r="B559" i="1"/>
  <c r="C559" i="1"/>
  <c r="D559" i="1"/>
  <c r="B560" i="1"/>
  <c r="C560" i="1"/>
  <c r="D560" i="1"/>
  <c r="B561" i="1"/>
  <c r="C561" i="1"/>
  <c r="D561" i="1"/>
  <c r="B562" i="1"/>
  <c r="C562" i="1"/>
  <c r="D562" i="1"/>
  <c r="B563" i="1"/>
  <c r="C563" i="1"/>
  <c r="D563" i="1"/>
  <c r="B564" i="1"/>
  <c r="C564" i="1"/>
  <c r="D564" i="1"/>
  <c r="B565" i="1"/>
  <c r="C565" i="1"/>
  <c r="D565" i="1"/>
  <c r="B566" i="1"/>
  <c r="C566" i="1"/>
  <c r="D566" i="1"/>
  <c r="B567" i="1"/>
  <c r="C567" i="1"/>
  <c r="D567" i="1"/>
  <c r="B568" i="1"/>
  <c r="C568" i="1"/>
  <c r="D568" i="1"/>
  <c r="B569" i="1"/>
  <c r="C569" i="1"/>
  <c r="D569" i="1"/>
  <c r="B570" i="1"/>
  <c r="C570" i="1"/>
  <c r="D570" i="1"/>
  <c r="B571" i="1"/>
  <c r="C571" i="1"/>
  <c r="D571" i="1"/>
  <c r="B572" i="1"/>
  <c r="C572" i="1"/>
  <c r="D572" i="1"/>
  <c r="B573" i="1"/>
  <c r="C573" i="1"/>
  <c r="D573" i="1"/>
  <c r="B574" i="1"/>
  <c r="C574" i="1"/>
  <c r="D574" i="1"/>
  <c r="B575" i="1"/>
  <c r="C575" i="1"/>
  <c r="D575" i="1"/>
  <c r="B576" i="1"/>
  <c r="C576" i="1"/>
  <c r="D576" i="1"/>
  <c r="B577" i="1"/>
  <c r="C577" i="1"/>
  <c r="D577" i="1"/>
  <c r="B578" i="1"/>
  <c r="C578" i="1"/>
  <c r="D578" i="1"/>
  <c r="B579" i="1"/>
  <c r="C579" i="1"/>
  <c r="D579" i="1"/>
  <c r="B580" i="1"/>
  <c r="C580" i="1"/>
  <c r="D580" i="1"/>
  <c r="B581" i="1"/>
  <c r="C581" i="1"/>
  <c r="D581" i="1"/>
  <c r="B582" i="1"/>
  <c r="C582" i="1"/>
  <c r="D582" i="1"/>
  <c r="B583" i="1"/>
  <c r="C583" i="1"/>
  <c r="D583" i="1"/>
  <c r="B584" i="1"/>
  <c r="C584" i="1"/>
  <c r="D584" i="1"/>
  <c r="B585" i="1"/>
  <c r="C585" i="1"/>
  <c r="D585" i="1"/>
  <c r="B586" i="1"/>
  <c r="C586" i="1"/>
  <c r="D586" i="1"/>
  <c r="B587" i="1"/>
  <c r="C587" i="1"/>
  <c r="D587" i="1"/>
  <c r="B588" i="1"/>
  <c r="C588" i="1"/>
  <c r="D588" i="1"/>
  <c r="B589" i="1"/>
  <c r="C589" i="1"/>
  <c r="D589" i="1"/>
  <c r="B590" i="1"/>
  <c r="C590" i="1"/>
  <c r="D590" i="1"/>
  <c r="B591" i="1"/>
  <c r="C591" i="1"/>
  <c r="D591" i="1"/>
  <c r="B592" i="1"/>
  <c r="C592" i="1"/>
  <c r="D592" i="1"/>
  <c r="B593" i="1"/>
  <c r="C593" i="1"/>
  <c r="D593" i="1"/>
  <c r="B594" i="1"/>
  <c r="C594" i="1"/>
  <c r="D594" i="1"/>
  <c r="B595" i="1"/>
  <c r="C595" i="1"/>
  <c r="D595" i="1"/>
  <c r="B596" i="1"/>
  <c r="C596" i="1"/>
  <c r="D596" i="1"/>
  <c r="B597" i="1"/>
  <c r="C597" i="1"/>
  <c r="D597" i="1"/>
  <c r="B598" i="1"/>
  <c r="C598" i="1"/>
  <c r="D598" i="1"/>
  <c r="B599" i="1"/>
  <c r="C599" i="1"/>
  <c r="D599" i="1"/>
  <c r="B600" i="1"/>
  <c r="C600" i="1"/>
  <c r="D600" i="1"/>
  <c r="B601" i="1"/>
  <c r="C601" i="1"/>
  <c r="D601" i="1"/>
  <c r="B602" i="1"/>
  <c r="C602" i="1"/>
  <c r="D602" i="1"/>
  <c r="B603" i="1"/>
  <c r="C603" i="1"/>
  <c r="D603" i="1"/>
  <c r="B604" i="1"/>
  <c r="C604" i="1"/>
  <c r="D604" i="1"/>
  <c r="B605" i="1"/>
  <c r="C605" i="1"/>
  <c r="D605" i="1"/>
  <c r="B606" i="1"/>
  <c r="C606" i="1"/>
  <c r="D606" i="1"/>
  <c r="B607" i="1"/>
  <c r="C607" i="1"/>
  <c r="D607" i="1"/>
  <c r="B608" i="1"/>
  <c r="C608" i="1"/>
  <c r="D608" i="1"/>
  <c r="B609" i="1"/>
  <c r="C609" i="1"/>
  <c r="D609" i="1"/>
  <c r="B610" i="1"/>
  <c r="C610" i="1"/>
  <c r="D610" i="1"/>
  <c r="B611" i="1"/>
  <c r="C611" i="1"/>
  <c r="D611" i="1"/>
  <c r="B612" i="1"/>
  <c r="C612" i="1"/>
  <c r="D612" i="1"/>
  <c r="B613" i="1"/>
  <c r="C613" i="1"/>
  <c r="D613" i="1"/>
  <c r="B614" i="1"/>
  <c r="C614" i="1"/>
  <c r="D614" i="1"/>
  <c r="B615" i="1"/>
  <c r="C615" i="1"/>
  <c r="D615" i="1"/>
  <c r="B616" i="1"/>
  <c r="C616" i="1"/>
  <c r="D616" i="1"/>
  <c r="B617" i="1"/>
  <c r="C617" i="1"/>
  <c r="D617" i="1"/>
  <c r="B618" i="1"/>
  <c r="C618" i="1"/>
  <c r="D618" i="1"/>
  <c r="B619" i="1"/>
  <c r="C619" i="1"/>
  <c r="D619" i="1"/>
  <c r="B620" i="1"/>
  <c r="C620" i="1"/>
  <c r="D620" i="1"/>
  <c r="B621" i="1"/>
  <c r="C621" i="1"/>
  <c r="D621" i="1"/>
  <c r="B622" i="1"/>
  <c r="C622" i="1"/>
  <c r="D622" i="1"/>
  <c r="B623" i="1"/>
  <c r="C623" i="1"/>
  <c r="D623" i="1"/>
  <c r="B624" i="1"/>
  <c r="C624" i="1"/>
  <c r="D624" i="1"/>
  <c r="B625" i="1"/>
  <c r="C625" i="1"/>
  <c r="D625" i="1"/>
  <c r="B626" i="1"/>
  <c r="C626" i="1"/>
  <c r="D626" i="1"/>
  <c r="B627" i="1"/>
  <c r="C627" i="1"/>
  <c r="D627" i="1"/>
  <c r="B628" i="1"/>
  <c r="C628" i="1"/>
  <c r="D628" i="1"/>
  <c r="B629" i="1"/>
  <c r="C629" i="1"/>
  <c r="D629" i="1"/>
  <c r="B630" i="1"/>
  <c r="C630" i="1"/>
  <c r="D630" i="1"/>
  <c r="B631" i="1"/>
  <c r="C631" i="1"/>
  <c r="D631" i="1"/>
  <c r="B632" i="1"/>
  <c r="C632" i="1"/>
  <c r="D632" i="1"/>
  <c r="B633" i="1"/>
  <c r="C633" i="1"/>
  <c r="D633" i="1"/>
  <c r="B634" i="1"/>
  <c r="C634" i="1"/>
  <c r="D634" i="1"/>
  <c r="B635" i="1"/>
  <c r="C635" i="1"/>
  <c r="D635" i="1"/>
  <c r="B636" i="1"/>
  <c r="C636" i="1"/>
  <c r="D636" i="1"/>
  <c r="B637" i="1"/>
  <c r="C637" i="1"/>
  <c r="D637" i="1"/>
  <c r="B638" i="1"/>
  <c r="C638" i="1"/>
  <c r="D638" i="1"/>
  <c r="B639" i="1"/>
  <c r="C639" i="1"/>
  <c r="D639" i="1"/>
  <c r="B640" i="1"/>
  <c r="C640" i="1"/>
  <c r="D640" i="1"/>
  <c r="B641" i="1"/>
  <c r="C641" i="1"/>
  <c r="D641" i="1"/>
  <c r="B642" i="1"/>
  <c r="C642" i="1"/>
  <c r="D642" i="1"/>
  <c r="B643" i="1"/>
  <c r="C643" i="1"/>
  <c r="D643" i="1"/>
  <c r="B644" i="1"/>
  <c r="C644" i="1"/>
  <c r="D644" i="1"/>
  <c r="B645" i="1"/>
  <c r="C645" i="1"/>
  <c r="D645" i="1"/>
  <c r="B646" i="1"/>
  <c r="C646" i="1"/>
  <c r="D646" i="1"/>
  <c r="B647" i="1"/>
  <c r="C647" i="1"/>
  <c r="D647" i="1"/>
  <c r="B648" i="1"/>
  <c r="C648" i="1"/>
  <c r="D648" i="1"/>
  <c r="B649" i="1"/>
  <c r="C649" i="1"/>
  <c r="D649" i="1"/>
  <c r="B650" i="1"/>
  <c r="C650" i="1"/>
  <c r="D650" i="1"/>
  <c r="B651" i="1"/>
  <c r="C651" i="1"/>
  <c r="D651" i="1"/>
  <c r="B652" i="1"/>
  <c r="C652" i="1"/>
  <c r="D652" i="1"/>
  <c r="B653" i="1"/>
  <c r="C653" i="1"/>
  <c r="D653" i="1"/>
  <c r="B654" i="1"/>
  <c r="C654" i="1"/>
  <c r="D654" i="1"/>
  <c r="B655" i="1"/>
  <c r="C655" i="1"/>
  <c r="D655" i="1"/>
  <c r="B656" i="1"/>
  <c r="C656" i="1"/>
  <c r="D656" i="1"/>
  <c r="B657" i="1"/>
  <c r="C657" i="1"/>
  <c r="D657" i="1"/>
  <c r="B658" i="1"/>
  <c r="C658" i="1"/>
  <c r="D658" i="1"/>
  <c r="B659" i="1"/>
  <c r="C659" i="1"/>
  <c r="D659" i="1"/>
  <c r="B660" i="1"/>
  <c r="C660" i="1"/>
  <c r="D660" i="1"/>
  <c r="B661" i="1"/>
  <c r="C661" i="1"/>
  <c r="D661" i="1"/>
  <c r="B662" i="1"/>
  <c r="C662" i="1"/>
  <c r="D662" i="1"/>
  <c r="B663" i="1"/>
  <c r="C663" i="1"/>
  <c r="D663" i="1"/>
  <c r="B664" i="1"/>
  <c r="C664" i="1"/>
  <c r="D664" i="1"/>
  <c r="B665" i="1"/>
  <c r="C665" i="1"/>
  <c r="D665" i="1"/>
  <c r="B666" i="1"/>
  <c r="C666" i="1"/>
  <c r="D666" i="1"/>
  <c r="B667" i="1"/>
  <c r="C667" i="1"/>
  <c r="D667" i="1"/>
  <c r="B668" i="1"/>
  <c r="C668" i="1"/>
  <c r="D668" i="1"/>
  <c r="B669" i="1"/>
  <c r="C669" i="1"/>
  <c r="D669" i="1"/>
  <c r="B670" i="1"/>
  <c r="C670" i="1"/>
  <c r="D670" i="1"/>
  <c r="B671" i="1"/>
  <c r="C671" i="1"/>
  <c r="D671" i="1"/>
  <c r="B672" i="1"/>
  <c r="C672" i="1"/>
  <c r="D672" i="1"/>
  <c r="B673" i="1"/>
  <c r="C673" i="1"/>
  <c r="D673" i="1"/>
  <c r="B674" i="1"/>
  <c r="C674" i="1"/>
  <c r="D674" i="1"/>
  <c r="B675" i="1"/>
  <c r="C675" i="1"/>
  <c r="D675" i="1"/>
  <c r="B676" i="1"/>
  <c r="C676" i="1"/>
  <c r="D676" i="1"/>
  <c r="B677" i="1"/>
  <c r="C677" i="1"/>
  <c r="D677" i="1"/>
  <c r="B678" i="1"/>
  <c r="C678" i="1"/>
  <c r="D678" i="1"/>
  <c r="B679" i="1"/>
  <c r="C679" i="1"/>
  <c r="D679" i="1"/>
  <c r="B680" i="1"/>
  <c r="C680" i="1"/>
  <c r="D680" i="1"/>
  <c r="B681" i="1"/>
  <c r="C681" i="1"/>
  <c r="D681" i="1"/>
  <c r="B682" i="1"/>
  <c r="C682" i="1"/>
  <c r="D682" i="1"/>
  <c r="B683" i="1"/>
  <c r="C683" i="1"/>
  <c r="D683" i="1"/>
  <c r="B684" i="1"/>
  <c r="C684" i="1"/>
  <c r="D684" i="1"/>
  <c r="B685" i="1"/>
  <c r="C685" i="1"/>
  <c r="D685" i="1"/>
  <c r="B686" i="1"/>
  <c r="C686" i="1"/>
  <c r="D686" i="1"/>
  <c r="B687" i="1"/>
  <c r="C687" i="1"/>
  <c r="D687" i="1"/>
  <c r="B688" i="1"/>
  <c r="C688" i="1"/>
  <c r="D688" i="1"/>
  <c r="B689" i="1"/>
  <c r="C689" i="1"/>
  <c r="D689" i="1"/>
  <c r="B690" i="1"/>
  <c r="C690" i="1"/>
  <c r="D690" i="1"/>
  <c r="B691" i="1"/>
  <c r="C691" i="1"/>
  <c r="D691" i="1"/>
  <c r="B692" i="1"/>
  <c r="C692" i="1"/>
  <c r="D692" i="1"/>
  <c r="B693" i="1"/>
  <c r="C693" i="1"/>
  <c r="D693" i="1"/>
  <c r="B694" i="1"/>
  <c r="C694" i="1"/>
  <c r="D694" i="1"/>
  <c r="B695" i="1"/>
  <c r="C695" i="1"/>
  <c r="D695" i="1"/>
  <c r="B696" i="1"/>
  <c r="C696" i="1"/>
  <c r="D696" i="1"/>
  <c r="B697" i="1"/>
  <c r="C697" i="1"/>
  <c r="D697" i="1"/>
  <c r="B698" i="1"/>
  <c r="C698" i="1"/>
  <c r="D698" i="1"/>
  <c r="B699" i="1"/>
  <c r="C699" i="1"/>
  <c r="D699" i="1"/>
  <c r="B700" i="1"/>
  <c r="C700" i="1"/>
  <c r="D700" i="1"/>
  <c r="B701" i="1"/>
  <c r="C701" i="1"/>
  <c r="D701" i="1"/>
  <c r="B702" i="1"/>
  <c r="C702" i="1"/>
  <c r="D702" i="1"/>
  <c r="B703" i="1"/>
  <c r="C703" i="1"/>
  <c r="D703" i="1"/>
  <c r="B704" i="1"/>
  <c r="C704" i="1"/>
  <c r="D704" i="1"/>
  <c r="B705" i="1"/>
  <c r="C705" i="1"/>
  <c r="D705" i="1"/>
  <c r="B706" i="1"/>
  <c r="C706" i="1"/>
  <c r="D706" i="1"/>
  <c r="B707" i="1"/>
  <c r="C707" i="1"/>
  <c r="D707" i="1"/>
  <c r="B708" i="1"/>
  <c r="C708" i="1"/>
  <c r="D708" i="1"/>
  <c r="B709" i="1"/>
  <c r="C709" i="1"/>
  <c r="D709" i="1"/>
  <c r="B710" i="1"/>
  <c r="C710" i="1"/>
  <c r="D710" i="1"/>
  <c r="B711" i="1"/>
  <c r="C711" i="1"/>
  <c r="D711" i="1"/>
  <c r="B712" i="1"/>
  <c r="C712" i="1"/>
  <c r="D712" i="1"/>
  <c r="B713" i="1"/>
  <c r="C713" i="1"/>
  <c r="D713" i="1"/>
  <c r="B714" i="1"/>
  <c r="C714" i="1"/>
  <c r="D714" i="1"/>
  <c r="B715" i="1"/>
  <c r="C715" i="1"/>
  <c r="D715" i="1"/>
  <c r="B716" i="1"/>
  <c r="C716" i="1"/>
  <c r="D716" i="1"/>
  <c r="B717" i="1"/>
  <c r="C717" i="1"/>
  <c r="D717" i="1"/>
  <c r="B718" i="1"/>
  <c r="C718" i="1"/>
  <c r="D718" i="1"/>
  <c r="B719" i="1"/>
  <c r="C719" i="1"/>
  <c r="D719" i="1"/>
  <c r="B720" i="1"/>
  <c r="C720" i="1"/>
  <c r="D720" i="1"/>
  <c r="B721" i="1"/>
  <c r="C721" i="1"/>
  <c r="D721" i="1"/>
  <c r="B722" i="1"/>
  <c r="C722" i="1"/>
  <c r="D722" i="1"/>
  <c r="B723" i="1"/>
  <c r="C723" i="1"/>
  <c r="D723" i="1"/>
  <c r="B724" i="1"/>
  <c r="C724" i="1"/>
  <c r="D724" i="1"/>
  <c r="B725" i="1"/>
  <c r="C725" i="1"/>
  <c r="D725" i="1"/>
  <c r="B726" i="1"/>
  <c r="C726" i="1"/>
  <c r="D726" i="1"/>
  <c r="B727" i="1"/>
  <c r="C727" i="1"/>
  <c r="D727" i="1"/>
  <c r="B728" i="1"/>
  <c r="C728" i="1"/>
  <c r="D728" i="1"/>
  <c r="B729" i="1"/>
  <c r="C729" i="1"/>
  <c r="D729" i="1"/>
  <c r="B730" i="1"/>
  <c r="C730" i="1"/>
  <c r="D730" i="1"/>
  <c r="B731" i="1"/>
  <c r="C731" i="1"/>
  <c r="D731" i="1"/>
  <c r="B732" i="1"/>
  <c r="C732" i="1"/>
  <c r="D732" i="1"/>
  <c r="B733" i="1"/>
  <c r="C733" i="1"/>
  <c r="D733" i="1"/>
  <c r="B734" i="1"/>
  <c r="C734" i="1"/>
  <c r="D734" i="1"/>
  <c r="B735" i="1"/>
  <c r="C735" i="1"/>
  <c r="D735" i="1"/>
  <c r="B736" i="1"/>
  <c r="C736" i="1"/>
  <c r="D736" i="1"/>
  <c r="B737" i="1"/>
  <c r="C737" i="1"/>
  <c r="D737" i="1"/>
  <c r="B738" i="1"/>
  <c r="C738" i="1"/>
  <c r="D738" i="1"/>
  <c r="B739" i="1"/>
  <c r="C739" i="1"/>
  <c r="D739" i="1"/>
  <c r="B740" i="1"/>
  <c r="C740" i="1"/>
  <c r="D740" i="1"/>
  <c r="B741" i="1"/>
  <c r="C741" i="1"/>
  <c r="D741" i="1"/>
  <c r="B742" i="1"/>
  <c r="C742" i="1"/>
  <c r="D742" i="1"/>
  <c r="B743" i="1"/>
  <c r="C743" i="1"/>
  <c r="D743" i="1"/>
  <c r="B744" i="1"/>
  <c r="C744" i="1"/>
  <c r="D744" i="1"/>
  <c r="B745" i="1"/>
  <c r="C745" i="1"/>
  <c r="D745" i="1"/>
  <c r="B746" i="1"/>
  <c r="C746" i="1"/>
  <c r="D746" i="1"/>
  <c r="B747" i="1"/>
  <c r="C747" i="1"/>
  <c r="D747" i="1"/>
  <c r="B748" i="1"/>
  <c r="C748" i="1"/>
  <c r="D748" i="1"/>
  <c r="B749" i="1"/>
  <c r="C749" i="1"/>
  <c r="D749" i="1"/>
  <c r="B750" i="1"/>
  <c r="C750" i="1"/>
  <c r="D750" i="1"/>
  <c r="B751" i="1"/>
  <c r="C751" i="1"/>
  <c r="D751" i="1"/>
  <c r="B752" i="1"/>
  <c r="C752" i="1"/>
  <c r="D752" i="1"/>
  <c r="B753" i="1"/>
  <c r="C753" i="1"/>
  <c r="D753" i="1"/>
  <c r="B754" i="1"/>
  <c r="C754" i="1"/>
  <c r="D754" i="1"/>
  <c r="B755" i="1"/>
  <c r="C755" i="1"/>
  <c r="D755" i="1"/>
  <c r="B756" i="1"/>
  <c r="C756" i="1"/>
  <c r="D756" i="1"/>
  <c r="B757" i="1"/>
  <c r="C757" i="1"/>
  <c r="D757" i="1"/>
  <c r="B758" i="1"/>
  <c r="C758" i="1"/>
  <c r="D758" i="1"/>
  <c r="B759" i="1"/>
  <c r="C759" i="1"/>
  <c r="D759" i="1"/>
  <c r="B760" i="1"/>
  <c r="C760" i="1"/>
  <c r="D760" i="1"/>
  <c r="B761" i="1"/>
  <c r="C761" i="1"/>
  <c r="D761" i="1"/>
  <c r="B762" i="1"/>
  <c r="C762" i="1"/>
  <c r="D762" i="1"/>
  <c r="B763" i="1"/>
  <c r="C763" i="1"/>
  <c r="D763" i="1"/>
  <c r="B764" i="1"/>
  <c r="C764" i="1"/>
  <c r="D764" i="1"/>
  <c r="B765" i="1"/>
  <c r="C765" i="1"/>
  <c r="D765" i="1"/>
  <c r="B766" i="1"/>
  <c r="C766" i="1"/>
  <c r="D766" i="1"/>
  <c r="B767" i="1"/>
  <c r="C767" i="1"/>
  <c r="D767" i="1"/>
  <c r="B768" i="1"/>
  <c r="C768" i="1"/>
  <c r="D768" i="1"/>
  <c r="B769" i="1"/>
  <c r="C769" i="1"/>
  <c r="D769" i="1"/>
  <c r="B770" i="1"/>
  <c r="C770" i="1"/>
  <c r="D770" i="1"/>
  <c r="B771" i="1"/>
  <c r="C771" i="1"/>
  <c r="D771" i="1"/>
  <c r="B772" i="1"/>
  <c r="C772" i="1"/>
  <c r="D772" i="1"/>
  <c r="B773" i="1"/>
  <c r="C773" i="1"/>
  <c r="D773" i="1"/>
  <c r="B774" i="1"/>
  <c r="C774" i="1"/>
  <c r="D774" i="1"/>
  <c r="B775" i="1"/>
  <c r="C775" i="1"/>
  <c r="D775" i="1"/>
  <c r="B776" i="1"/>
  <c r="C776" i="1"/>
  <c r="D776" i="1"/>
  <c r="B777" i="1"/>
  <c r="C777" i="1"/>
  <c r="D777" i="1"/>
  <c r="B778" i="1"/>
  <c r="C778" i="1"/>
  <c r="D778" i="1"/>
  <c r="B779" i="1"/>
  <c r="C779" i="1"/>
  <c r="D779" i="1"/>
  <c r="B780" i="1"/>
  <c r="C780" i="1"/>
  <c r="D780" i="1"/>
  <c r="B781" i="1"/>
  <c r="C781" i="1"/>
  <c r="D781" i="1"/>
  <c r="B782" i="1"/>
  <c r="C782" i="1"/>
  <c r="D782" i="1"/>
  <c r="B783" i="1"/>
  <c r="C783" i="1"/>
  <c r="D783" i="1"/>
  <c r="B784" i="1"/>
  <c r="C784" i="1"/>
  <c r="D784" i="1"/>
  <c r="B785" i="1"/>
  <c r="C785" i="1"/>
  <c r="D785" i="1"/>
  <c r="B786" i="1"/>
  <c r="C786" i="1"/>
  <c r="D786" i="1"/>
  <c r="B787" i="1"/>
  <c r="C787" i="1"/>
  <c r="D787" i="1"/>
  <c r="B788" i="1"/>
  <c r="C788" i="1"/>
  <c r="D788" i="1"/>
  <c r="B789" i="1"/>
  <c r="C789" i="1"/>
  <c r="D789" i="1"/>
  <c r="B790" i="1"/>
  <c r="C790" i="1"/>
  <c r="D790" i="1"/>
  <c r="B791" i="1"/>
  <c r="C791" i="1"/>
  <c r="D791" i="1"/>
  <c r="B792" i="1"/>
  <c r="C792" i="1"/>
  <c r="D792" i="1"/>
  <c r="B793" i="1"/>
  <c r="C793" i="1"/>
  <c r="D793" i="1"/>
  <c r="B794" i="1"/>
  <c r="C794" i="1"/>
  <c r="D794" i="1"/>
  <c r="B795" i="1"/>
  <c r="C795" i="1"/>
  <c r="D795" i="1"/>
  <c r="B796" i="1"/>
  <c r="C796" i="1"/>
  <c r="D796" i="1"/>
  <c r="B797" i="1"/>
  <c r="C797" i="1"/>
  <c r="D797" i="1"/>
  <c r="B798" i="1"/>
  <c r="C798" i="1"/>
  <c r="D798" i="1"/>
  <c r="B799" i="1"/>
  <c r="C799" i="1"/>
  <c r="D799" i="1"/>
  <c r="B800" i="1"/>
  <c r="C800" i="1"/>
  <c r="D800" i="1"/>
  <c r="B801" i="1"/>
  <c r="C801" i="1"/>
  <c r="D801" i="1"/>
  <c r="B802" i="1"/>
  <c r="C802" i="1"/>
  <c r="D802" i="1"/>
  <c r="B803" i="1"/>
  <c r="C803" i="1"/>
  <c r="D803" i="1"/>
  <c r="B804" i="1"/>
  <c r="C804" i="1"/>
  <c r="D804" i="1"/>
  <c r="B805" i="1"/>
  <c r="C805" i="1"/>
  <c r="D805" i="1"/>
  <c r="B806" i="1"/>
  <c r="C806" i="1"/>
  <c r="D806" i="1"/>
  <c r="B807" i="1"/>
  <c r="C807" i="1"/>
  <c r="D807" i="1"/>
  <c r="B808" i="1"/>
  <c r="C808" i="1"/>
  <c r="D808" i="1"/>
  <c r="B809" i="1"/>
  <c r="C809" i="1"/>
  <c r="D809" i="1"/>
  <c r="B810" i="1"/>
  <c r="C810" i="1"/>
  <c r="D810" i="1"/>
  <c r="B811" i="1"/>
  <c r="C811" i="1"/>
  <c r="D811" i="1"/>
  <c r="B812" i="1"/>
  <c r="C812" i="1"/>
  <c r="D812" i="1"/>
  <c r="B813" i="1"/>
  <c r="C813" i="1"/>
  <c r="D813" i="1"/>
  <c r="B814" i="1"/>
  <c r="C814" i="1"/>
  <c r="D814" i="1"/>
  <c r="B815" i="1"/>
  <c r="C815" i="1"/>
  <c r="D815" i="1"/>
  <c r="B816" i="1"/>
  <c r="C816" i="1"/>
  <c r="D816" i="1"/>
  <c r="B817" i="1"/>
  <c r="C817" i="1"/>
  <c r="D817" i="1"/>
  <c r="B818" i="1"/>
  <c r="C818" i="1"/>
  <c r="D818" i="1"/>
  <c r="B819" i="1"/>
  <c r="C819" i="1"/>
  <c r="D819" i="1"/>
  <c r="B820" i="1"/>
  <c r="C820" i="1"/>
  <c r="D820" i="1"/>
  <c r="B821" i="1"/>
  <c r="C821" i="1"/>
  <c r="D821" i="1"/>
  <c r="B822" i="1"/>
  <c r="C822" i="1"/>
  <c r="D822" i="1"/>
  <c r="B823" i="1"/>
  <c r="C823" i="1"/>
  <c r="D823" i="1"/>
  <c r="B824" i="1"/>
  <c r="C824" i="1"/>
  <c r="D824" i="1"/>
  <c r="B825" i="1"/>
  <c r="C825" i="1"/>
  <c r="D825" i="1"/>
  <c r="B826" i="1"/>
  <c r="C826" i="1"/>
  <c r="D826" i="1"/>
  <c r="B827" i="1"/>
  <c r="C827" i="1"/>
  <c r="D827" i="1"/>
  <c r="B828" i="1"/>
  <c r="C828" i="1"/>
  <c r="D828" i="1"/>
  <c r="B829" i="1"/>
  <c r="C829" i="1"/>
  <c r="D829" i="1"/>
  <c r="B830" i="1"/>
  <c r="C830" i="1"/>
  <c r="D830" i="1"/>
  <c r="B831" i="1"/>
  <c r="C831" i="1"/>
  <c r="D831" i="1"/>
  <c r="B832" i="1"/>
  <c r="C832" i="1"/>
  <c r="D832" i="1"/>
  <c r="B833" i="1"/>
  <c r="C833" i="1"/>
  <c r="D833" i="1"/>
  <c r="B834" i="1"/>
  <c r="C834" i="1"/>
  <c r="D834" i="1"/>
  <c r="B835" i="1"/>
  <c r="C835" i="1"/>
  <c r="D835" i="1"/>
  <c r="B836" i="1"/>
  <c r="C836" i="1"/>
  <c r="D836" i="1"/>
  <c r="B837" i="1"/>
  <c r="C837" i="1"/>
  <c r="D837" i="1"/>
  <c r="B838" i="1"/>
  <c r="C838" i="1"/>
  <c r="D838" i="1"/>
  <c r="B839" i="1"/>
  <c r="C839" i="1"/>
  <c r="D839" i="1"/>
  <c r="B840" i="1"/>
  <c r="C840" i="1"/>
  <c r="D840" i="1"/>
  <c r="B841" i="1"/>
  <c r="C841" i="1"/>
  <c r="D841" i="1"/>
  <c r="B842" i="1"/>
  <c r="C842" i="1"/>
  <c r="D842" i="1"/>
  <c r="B843" i="1"/>
  <c r="C843" i="1"/>
  <c r="D843" i="1"/>
  <c r="B844" i="1"/>
  <c r="C844" i="1"/>
  <c r="D844" i="1"/>
  <c r="B845" i="1"/>
  <c r="C845" i="1"/>
  <c r="D845" i="1"/>
  <c r="B846" i="1"/>
  <c r="C846" i="1"/>
  <c r="D846" i="1"/>
  <c r="B847" i="1"/>
  <c r="C847" i="1"/>
  <c r="D847" i="1"/>
  <c r="B848" i="1"/>
  <c r="C848" i="1"/>
  <c r="D848" i="1"/>
  <c r="B849" i="1"/>
  <c r="C849" i="1"/>
  <c r="D849" i="1"/>
  <c r="B850" i="1"/>
  <c r="C850" i="1"/>
  <c r="D850" i="1"/>
  <c r="B851" i="1"/>
  <c r="C851" i="1"/>
  <c r="D851" i="1"/>
  <c r="B852" i="1"/>
  <c r="C852" i="1"/>
  <c r="D852" i="1"/>
  <c r="B853" i="1"/>
  <c r="C853" i="1"/>
  <c r="D853" i="1"/>
  <c r="B854" i="1"/>
  <c r="C854" i="1"/>
  <c r="D854" i="1"/>
  <c r="B855" i="1"/>
  <c r="C855" i="1"/>
  <c r="D855" i="1"/>
  <c r="B856" i="1"/>
  <c r="C856" i="1"/>
  <c r="D856" i="1"/>
  <c r="B857" i="1"/>
  <c r="C857" i="1"/>
  <c r="D857" i="1"/>
  <c r="B858" i="1"/>
  <c r="C858" i="1"/>
  <c r="D858" i="1"/>
  <c r="B859" i="1"/>
  <c r="C859" i="1"/>
  <c r="D859" i="1"/>
  <c r="B860" i="1"/>
  <c r="C860" i="1"/>
  <c r="D860" i="1"/>
  <c r="B861" i="1"/>
  <c r="C861" i="1"/>
  <c r="D861" i="1"/>
  <c r="B862" i="1"/>
  <c r="C862" i="1"/>
  <c r="D862" i="1"/>
  <c r="B863" i="1"/>
  <c r="C863" i="1"/>
  <c r="D863" i="1"/>
  <c r="B864" i="1"/>
  <c r="C864" i="1"/>
  <c r="D864" i="1"/>
  <c r="B865" i="1"/>
  <c r="C865" i="1"/>
  <c r="D865" i="1"/>
  <c r="B866" i="1"/>
  <c r="C866" i="1"/>
  <c r="D866" i="1"/>
  <c r="B867" i="1"/>
  <c r="C867" i="1"/>
  <c r="D867" i="1"/>
  <c r="B868" i="1"/>
  <c r="C868" i="1"/>
  <c r="D868" i="1"/>
  <c r="B869" i="1"/>
  <c r="C869" i="1"/>
  <c r="D869" i="1"/>
  <c r="B870" i="1"/>
  <c r="C870" i="1"/>
  <c r="D870" i="1"/>
  <c r="B871" i="1"/>
  <c r="C871" i="1"/>
  <c r="D871" i="1"/>
  <c r="B872" i="1"/>
  <c r="C872" i="1"/>
  <c r="D872" i="1"/>
  <c r="B873" i="1"/>
  <c r="C873" i="1"/>
  <c r="D873" i="1"/>
  <c r="B874" i="1"/>
  <c r="C874" i="1"/>
  <c r="D874" i="1"/>
  <c r="B875" i="1"/>
  <c r="C875" i="1"/>
  <c r="D875" i="1"/>
  <c r="B876" i="1"/>
  <c r="C876" i="1"/>
  <c r="D876" i="1"/>
  <c r="B877" i="1"/>
  <c r="C877" i="1"/>
  <c r="D877" i="1"/>
  <c r="B878" i="1"/>
  <c r="C878" i="1"/>
  <c r="D878" i="1"/>
  <c r="B879" i="1"/>
  <c r="C879" i="1"/>
  <c r="D879" i="1"/>
  <c r="B880" i="1"/>
  <c r="C880" i="1"/>
  <c r="D880" i="1"/>
  <c r="B881" i="1"/>
  <c r="C881" i="1"/>
  <c r="D881" i="1"/>
  <c r="B882" i="1"/>
  <c r="C882" i="1"/>
  <c r="D882" i="1"/>
  <c r="B883" i="1"/>
  <c r="C883" i="1"/>
  <c r="D883" i="1"/>
  <c r="B884" i="1"/>
  <c r="C884" i="1"/>
  <c r="D884" i="1"/>
  <c r="B885" i="1"/>
  <c r="C885" i="1"/>
  <c r="D885" i="1"/>
  <c r="B886" i="1"/>
  <c r="C886" i="1"/>
  <c r="D886" i="1"/>
  <c r="B887" i="1"/>
  <c r="C887" i="1"/>
  <c r="D887" i="1"/>
  <c r="B888" i="1"/>
  <c r="C888" i="1"/>
  <c r="D888" i="1"/>
  <c r="B889" i="1"/>
  <c r="C889" i="1"/>
  <c r="D889" i="1"/>
  <c r="B890" i="1"/>
  <c r="C890" i="1"/>
  <c r="D890" i="1"/>
  <c r="B891" i="1"/>
  <c r="C891" i="1"/>
  <c r="D891" i="1"/>
  <c r="B892" i="1"/>
  <c r="C892" i="1"/>
  <c r="D892" i="1"/>
  <c r="B893" i="1"/>
  <c r="C893" i="1"/>
  <c r="D893" i="1"/>
  <c r="B894" i="1"/>
  <c r="C894" i="1"/>
  <c r="D894" i="1"/>
  <c r="B895" i="1"/>
  <c r="C895" i="1"/>
  <c r="D895" i="1"/>
  <c r="B896" i="1"/>
  <c r="C896" i="1"/>
  <c r="D896" i="1"/>
  <c r="B897" i="1"/>
  <c r="C897" i="1"/>
  <c r="D897" i="1"/>
  <c r="B898" i="1"/>
  <c r="C898" i="1"/>
  <c r="D898" i="1"/>
  <c r="B899" i="1"/>
  <c r="C899" i="1"/>
  <c r="D899" i="1"/>
  <c r="B900" i="1"/>
  <c r="C900" i="1"/>
  <c r="D900" i="1"/>
  <c r="B901" i="1"/>
  <c r="C901" i="1"/>
  <c r="D901" i="1"/>
  <c r="B902" i="1"/>
  <c r="C902" i="1"/>
  <c r="D902" i="1"/>
  <c r="B903" i="1"/>
  <c r="C903" i="1"/>
  <c r="D903" i="1"/>
  <c r="B904" i="1"/>
  <c r="C904" i="1"/>
  <c r="D904" i="1"/>
  <c r="B905" i="1"/>
  <c r="C905" i="1"/>
  <c r="D905" i="1"/>
  <c r="B906" i="1"/>
  <c r="C906" i="1"/>
  <c r="D906" i="1"/>
  <c r="B907" i="1"/>
  <c r="C907" i="1"/>
  <c r="D907" i="1"/>
  <c r="B908" i="1"/>
  <c r="C908" i="1"/>
  <c r="D908" i="1"/>
  <c r="B909" i="1"/>
  <c r="C909" i="1"/>
  <c r="D909" i="1"/>
  <c r="B910" i="1"/>
  <c r="C910" i="1"/>
  <c r="D910" i="1"/>
  <c r="B911" i="1"/>
  <c r="C911" i="1"/>
  <c r="D911" i="1"/>
  <c r="B912" i="1"/>
  <c r="C912" i="1"/>
  <c r="D912" i="1"/>
  <c r="B913" i="1"/>
  <c r="C913" i="1"/>
  <c r="D913" i="1"/>
  <c r="B914" i="1"/>
  <c r="C914" i="1"/>
  <c r="D914" i="1"/>
  <c r="B915" i="1"/>
  <c r="C915" i="1"/>
  <c r="D915" i="1"/>
  <c r="B916" i="1"/>
  <c r="C916" i="1"/>
  <c r="D916" i="1"/>
  <c r="B917" i="1"/>
  <c r="C917" i="1"/>
  <c r="D917" i="1"/>
  <c r="B918" i="1"/>
  <c r="C918" i="1"/>
  <c r="D918" i="1"/>
  <c r="B919" i="1"/>
  <c r="C919" i="1"/>
  <c r="D919" i="1"/>
  <c r="B920" i="1"/>
  <c r="C920" i="1"/>
  <c r="D920" i="1"/>
  <c r="B921" i="1"/>
  <c r="C921" i="1"/>
  <c r="D921" i="1"/>
  <c r="B922" i="1"/>
  <c r="C922" i="1"/>
  <c r="D922" i="1"/>
  <c r="B923" i="1"/>
  <c r="C923" i="1"/>
  <c r="D923" i="1"/>
  <c r="B924" i="1"/>
  <c r="C924" i="1"/>
  <c r="D924" i="1"/>
  <c r="B925" i="1"/>
  <c r="C925" i="1"/>
  <c r="D925" i="1"/>
  <c r="B926" i="1"/>
  <c r="C926" i="1"/>
  <c r="D926" i="1"/>
  <c r="B927" i="1"/>
  <c r="C927" i="1"/>
  <c r="D927" i="1"/>
  <c r="B928" i="1"/>
  <c r="C928" i="1"/>
  <c r="D928" i="1"/>
  <c r="B929" i="1"/>
  <c r="C929" i="1"/>
  <c r="D929" i="1"/>
  <c r="B930" i="1"/>
  <c r="C930" i="1"/>
  <c r="D930" i="1"/>
  <c r="B931" i="1"/>
  <c r="C931" i="1"/>
  <c r="D931" i="1"/>
  <c r="B932" i="1"/>
  <c r="C932" i="1"/>
  <c r="D932" i="1"/>
  <c r="B933" i="1"/>
  <c r="C933" i="1"/>
  <c r="D933" i="1"/>
  <c r="B934" i="1"/>
  <c r="C934" i="1"/>
  <c r="D934" i="1"/>
  <c r="B935" i="1"/>
  <c r="C935" i="1"/>
  <c r="D935" i="1"/>
  <c r="B936" i="1"/>
  <c r="C936" i="1"/>
  <c r="D936" i="1"/>
  <c r="B937" i="1"/>
  <c r="C937" i="1"/>
  <c r="D937" i="1"/>
  <c r="B938" i="1"/>
  <c r="C938" i="1"/>
  <c r="D938" i="1"/>
  <c r="B939" i="1"/>
  <c r="C939" i="1"/>
  <c r="D939" i="1"/>
  <c r="B940" i="1"/>
  <c r="C940" i="1"/>
  <c r="D940" i="1"/>
  <c r="B941" i="1"/>
  <c r="C941" i="1"/>
  <c r="D941" i="1"/>
  <c r="B942" i="1"/>
  <c r="C942" i="1"/>
  <c r="D942" i="1"/>
  <c r="B943" i="1"/>
  <c r="C943" i="1"/>
  <c r="D943" i="1"/>
  <c r="B944" i="1"/>
  <c r="C944" i="1"/>
  <c r="D944" i="1"/>
  <c r="B945" i="1"/>
  <c r="C945" i="1"/>
  <c r="D945" i="1"/>
  <c r="B946" i="1"/>
  <c r="C946" i="1"/>
  <c r="D946" i="1"/>
  <c r="B947" i="1"/>
  <c r="C947" i="1"/>
  <c r="D947" i="1"/>
  <c r="B948" i="1"/>
  <c r="C948" i="1"/>
  <c r="D948" i="1"/>
  <c r="B949" i="1"/>
  <c r="C949" i="1"/>
  <c r="D949" i="1"/>
  <c r="B950" i="1"/>
  <c r="C950" i="1"/>
  <c r="D950" i="1"/>
  <c r="B951" i="1"/>
  <c r="C951" i="1"/>
  <c r="D951" i="1"/>
  <c r="B952" i="1"/>
  <c r="C952" i="1"/>
  <c r="D952" i="1"/>
  <c r="B953" i="1"/>
  <c r="C953" i="1"/>
  <c r="D953" i="1"/>
  <c r="B954" i="1"/>
  <c r="C954" i="1"/>
  <c r="D954" i="1"/>
  <c r="B955" i="1"/>
  <c r="C955" i="1"/>
  <c r="D955" i="1"/>
  <c r="B956" i="1"/>
  <c r="C956" i="1"/>
  <c r="D956" i="1"/>
  <c r="B957" i="1"/>
  <c r="C957" i="1"/>
  <c r="D957" i="1"/>
  <c r="B958" i="1"/>
  <c r="C958" i="1"/>
  <c r="D958" i="1"/>
  <c r="B959" i="1"/>
  <c r="C959" i="1"/>
  <c r="D959" i="1"/>
  <c r="B960" i="1"/>
  <c r="C960" i="1"/>
  <c r="D960" i="1"/>
  <c r="B961" i="1"/>
  <c r="C961" i="1"/>
  <c r="D961" i="1"/>
  <c r="B962" i="1"/>
  <c r="C962" i="1"/>
  <c r="D962" i="1"/>
  <c r="B963" i="1"/>
  <c r="C963" i="1"/>
  <c r="D963" i="1"/>
  <c r="B964" i="1"/>
  <c r="C964" i="1"/>
  <c r="D964" i="1"/>
  <c r="B965" i="1"/>
  <c r="C965" i="1"/>
  <c r="D965" i="1"/>
  <c r="B966" i="1"/>
  <c r="C966" i="1"/>
  <c r="D966" i="1"/>
  <c r="B967" i="1"/>
  <c r="C967" i="1"/>
  <c r="D967" i="1"/>
  <c r="B968" i="1"/>
  <c r="C968" i="1"/>
  <c r="D968" i="1"/>
  <c r="B969" i="1"/>
  <c r="C969" i="1"/>
  <c r="D969" i="1"/>
  <c r="B970" i="1"/>
  <c r="C970" i="1"/>
  <c r="D970" i="1"/>
  <c r="B971" i="1"/>
  <c r="C971" i="1"/>
  <c r="D971" i="1"/>
  <c r="B972" i="1"/>
  <c r="C972" i="1"/>
  <c r="D972" i="1"/>
  <c r="B973" i="1"/>
  <c r="C973" i="1"/>
  <c r="D973" i="1"/>
  <c r="B974" i="1"/>
  <c r="C974" i="1"/>
  <c r="D974" i="1"/>
  <c r="B975" i="1"/>
  <c r="C975" i="1"/>
  <c r="D975" i="1"/>
  <c r="B976" i="1"/>
  <c r="C976" i="1"/>
  <c r="D976" i="1"/>
  <c r="B977" i="1"/>
  <c r="C977" i="1"/>
  <c r="D977" i="1"/>
  <c r="B978" i="1"/>
  <c r="C978" i="1"/>
  <c r="D978" i="1"/>
  <c r="B979" i="1"/>
  <c r="C979" i="1"/>
  <c r="D979" i="1"/>
  <c r="B980" i="1"/>
  <c r="C980" i="1"/>
  <c r="D980" i="1"/>
  <c r="B981" i="1"/>
  <c r="C981" i="1"/>
  <c r="D981" i="1"/>
  <c r="B982" i="1"/>
  <c r="C982" i="1"/>
  <c r="D982" i="1"/>
  <c r="B983" i="1"/>
  <c r="C983" i="1"/>
  <c r="D983" i="1"/>
  <c r="B984" i="1"/>
  <c r="C984" i="1"/>
  <c r="D984" i="1"/>
  <c r="B985" i="1"/>
  <c r="C985" i="1"/>
  <c r="D985" i="1"/>
  <c r="B986" i="1"/>
  <c r="C986" i="1"/>
  <c r="D986" i="1"/>
  <c r="B987" i="1"/>
  <c r="C987" i="1"/>
  <c r="D987" i="1"/>
  <c r="B988" i="1"/>
  <c r="C988" i="1"/>
  <c r="D988" i="1"/>
  <c r="B989" i="1"/>
  <c r="C989" i="1"/>
  <c r="D989" i="1"/>
  <c r="B990" i="1"/>
  <c r="C990" i="1"/>
  <c r="D990" i="1"/>
  <c r="B991" i="1"/>
  <c r="C991" i="1"/>
  <c r="D991" i="1"/>
  <c r="B992" i="1"/>
  <c r="C992" i="1"/>
  <c r="D992" i="1"/>
  <c r="B993" i="1"/>
  <c r="C993" i="1"/>
  <c r="D993" i="1"/>
  <c r="B994" i="1"/>
  <c r="C994" i="1"/>
  <c r="D994" i="1"/>
  <c r="B995" i="1"/>
  <c r="C995" i="1"/>
  <c r="D995" i="1"/>
  <c r="B996" i="1"/>
  <c r="C996" i="1"/>
  <c r="D996" i="1"/>
  <c r="B997" i="1"/>
  <c r="C997" i="1"/>
  <c r="D997" i="1"/>
  <c r="B998" i="1"/>
  <c r="C998" i="1"/>
  <c r="D998" i="1"/>
  <c r="B999" i="1"/>
  <c r="C999" i="1"/>
  <c r="D999" i="1"/>
  <c r="B1000" i="1"/>
  <c r="C1000" i="1"/>
  <c r="D1000" i="1"/>
  <c r="B1001" i="1"/>
  <c r="C1001" i="1"/>
  <c r="D1001" i="1"/>
  <c r="B1002" i="1"/>
  <c r="C1002" i="1"/>
  <c r="D1002" i="1"/>
  <c r="B1003" i="1"/>
  <c r="C1003" i="1"/>
  <c r="D1003" i="1"/>
  <c r="B1004" i="1"/>
  <c r="C1004" i="1"/>
  <c r="D1004" i="1"/>
  <c r="B1005" i="1"/>
  <c r="C1005" i="1"/>
  <c r="D1005" i="1"/>
  <c r="B1006" i="1"/>
  <c r="C1006" i="1"/>
  <c r="D1006" i="1"/>
  <c r="B1007" i="1"/>
  <c r="C1007" i="1"/>
  <c r="D1007" i="1"/>
  <c r="B1008" i="1"/>
  <c r="C1008" i="1"/>
  <c r="D1008" i="1"/>
  <c r="B1009" i="1"/>
  <c r="C1009" i="1"/>
  <c r="D1009" i="1"/>
  <c r="B1010" i="1"/>
  <c r="C1010" i="1"/>
  <c r="D1010" i="1"/>
  <c r="B1011" i="1"/>
  <c r="C1011" i="1"/>
  <c r="D1011" i="1"/>
  <c r="B1012" i="1"/>
  <c r="C1012" i="1"/>
  <c r="D1012" i="1"/>
  <c r="B1013" i="1"/>
  <c r="C1013" i="1"/>
  <c r="D1013" i="1"/>
  <c r="B1014" i="1"/>
  <c r="C1014" i="1"/>
  <c r="D1014" i="1"/>
  <c r="B1015" i="1"/>
  <c r="C1015" i="1"/>
  <c r="D1015" i="1"/>
  <c r="B1016" i="1"/>
  <c r="C1016" i="1"/>
  <c r="D1016" i="1"/>
  <c r="B1017" i="1"/>
  <c r="C1017" i="1"/>
  <c r="D1017" i="1"/>
  <c r="B1018" i="1"/>
  <c r="C1018" i="1"/>
  <c r="D1018" i="1"/>
  <c r="B1019" i="1"/>
  <c r="C1019" i="1"/>
  <c r="D1019" i="1"/>
  <c r="B1020" i="1"/>
  <c r="C1020" i="1"/>
  <c r="D1020" i="1"/>
  <c r="B1021" i="1"/>
  <c r="C1021" i="1"/>
  <c r="D1021" i="1"/>
  <c r="B1022" i="1"/>
  <c r="C1022" i="1"/>
  <c r="D1022" i="1"/>
  <c r="B1023" i="1"/>
  <c r="C1023" i="1"/>
  <c r="D1023" i="1"/>
  <c r="B1024" i="1"/>
  <c r="C1024" i="1"/>
  <c r="D1024" i="1"/>
  <c r="B1025" i="1"/>
  <c r="C1025" i="1"/>
  <c r="D1025" i="1"/>
  <c r="B1026" i="1"/>
  <c r="C1026" i="1"/>
  <c r="D1026" i="1"/>
  <c r="B1027" i="1"/>
  <c r="C1027" i="1"/>
  <c r="D1027" i="1"/>
  <c r="B1028" i="1"/>
  <c r="C1028" i="1"/>
  <c r="D1028" i="1"/>
  <c r="B1029" i="1"/>
  <c r="C1029" i="1"/>
  <c r="D1029" i="1"/>
  <c r="B1030" i="1"/>
  <c r="C1030" i="1"/>
  <c r="D1030" i="1"/>
  <c r="B1031" i="1"/>
  <c r="C1031" i="1"/>
  <c r="D1031" i="1"/>
  <c r="B1032" i="1"/>
  <c r="C1032" i="1"/>
  <c r="D1032" i="1"/>
  <c r="B1033" i="1"/>
  <c r="C1033" i="1"/>
  <c r="D1033" i="1"/>
  <c r="B1034" i="1"/>
  <c r="C1034" i="1"/>
  <c r="D1034" i="1"/>
  <c r="B1035" i="1"/>
  <c r="C1035" i="1"/>
  <c r="D1035" i="1"/>
  <c r="B1036" i="1"/>
  <c r="C1036" i="1"/>
  <c r="D1036" i="1"/>
  <c r="B1037" i="1"/>
  <c r="C1037" i="1"/>
  <c r="D1037" i="1"/>
  <c r="B1038" i="1"/>
  <c r="C1038" i="1"/>
  <c r="D1038" i="1"/>
  <c r="B1039" i="1"/>
  <c r="C1039" i="1"/>
  <c r="D1039" i="1"/>
  <c r="B1040" i="1"/>
  <c r="C1040" i="1"/>
  <c r="D1040" i="1"/>
  <c r="B1041" i="1"/>
  <c r="C1041" i="1"/>
  <c r="D1041" i="1"/>
  <c r="B1042" i="1"/>
  <c r="C1042" i="1"/>
  <c r="D1042" i="1"/>
  <c r="B1043" i="1"/>
  <c r="C1043" i="1"/>
  <c r="D1043" i="1"/>
  <c r="B1044" i="1"/>
  <c r="C1044" i="1"/>
  <c r="D1044" i="1"/>
  <c r="B1045" i="1"/>
  <c r="C1045" i="1"/>
  <c r="D1045" i="1"/>
  <c r="B1046" i="1"/>
  <c r="C1046" i="1"/>
  <c r="D1046" i="1"/>
  <c r="B1047" i="1"/>
  <c r="C1047" i="1"/>
  <c r="D1047" i="1"/>
  <c r="B1048" i="1"/>
  <c r="C1048" i="1"/>
  <c r="D1048" i="1"/>
  <c r="B1049" i="1"/>
  <c r="C1049" i="1"/>
  <c r="D1049" i="1"/>
  <c r="B1050" i="1"/>
  <c r="C1050" i="1"/>
  <c r="D1050" i="1"/>
  <c r="B1051" i="1"/>
  <c r="C1051" i="1"/>
  <c r="D1051" i="1"/>
  <c r="B1052" i="1"/>
  <c r="C1052" i="1"/>
  <c r="D1052" i="1"/>
  <c r="B1053" i="1"/>
  <c r="C1053" i="1"/>
  <c r="D1053" i="1"/>
  <c r="B1054" i="1"/>
  <c r="C1054" i="1"/>
  <c r="D1054" i="1"/>
  <c r="B1055" i="1"/>
  <c r="C1055" i="1"/>
  <c r="D1055" i="1"/>
  <c r="B1056" i="1"/>
  <c r="C1056" i="1"/>
  <c r="D1056" i="1"/>
  <c r="B1057" i="1"/>
  <c r="C1057" i="1"/>
  <c r="D1057" i="1"/>
  <c r="B1058" i="1"/>
  <c r="C1058" i="1"/>
  <c r="D1058" i="1"/>
  <c r="B1059" i="1"/>
  <c r="C1059" i="1"/>
  <c r="D1059" i="1"/>
  <c r="B1060" i="1"/>
  <c r="C1060" i="1"/>
  <c r="D1060" i="1"/>
  <c r="B1061" i="1"/>
  <c r="C1061" i="1"/>
  <c r="D1061" i="1"/>
  <c r="B1062" i="1"/>
  <c r="C1062" i="1"/>
  <c r="D1062" i="1"/>
  <c r="B1063" i="1"/>
  <c r="C1063" i="1"/>
  <c r="D1063" i="1"/>
  <c r="B1064" i="1"/>
  <c r="C1064" i="1"/>
  <c r="D1064" i="1"/>
  <c r="B1065" i="1"/>
  <c r="C1065" i="1"/>
  <c r="D1065" i="1"/>
  <c r="B1066" i="1"/>
  <c r="C1066" i="1"/>
  <c r="D1066" i="1"/>
  <c r="B1067" i="1"/>
  <c r="C1067" i="1"/>
  <c r="D1067" i="1"/>
  <c r="B1068" i="1"/>
  <c r="C1068" i="1"/>
  <c r="D1068" i="1"/>
  <c r="B1069" i="1"/>
  <c r="C1069" i="1"/>
  <c r="D1069" i="1"/>
  <c r="B1070" i="1"/>
  <c r="C1070" i="1"/>
  <c r="D1070" i="1"/>
  <c r="B1071" i="1"/>
  <c r="C1071" i="1"/>
  <c r="D1071" i="1"/>
  <c r="B1072" i="1"/>
  <c r="C1072" i="1"/>
  <c r="D1072" i="1"/>
  <c r="B1073" i="1"/>
  <c r="C1073" i="1"/>
  <c r="D1073" i="1"/>
  <c r="B1074" i="1"/>
  <c r="C1074" i="1"/>
  <c r="D1074" i="1"/>
  <c r="B1075" i="1"/>
  <c r="C1075" i="1"/>
  <c r="D1075" i="1"/>
  <c r="B1076" i="1"/>
  <c r="C1076" i="1"/>
  <c r="D1076" i="1"/>
  <c r="B1077" i="1"/>
  <c r="C1077" i="1"/>
  <c r="D1077" i="1"/>
  <c r="B1078" i="1"/>
  <c r="C1078" i="1"/>
  <c r="D1078" i="1"/>
  <c r="B1079" i="1"/>
  <c r="C1079" i="1"/>
  <c r="D1079" i="1"/>
  <c r="B1080" i="1"/>
  <c r="C1080" i="1"/>
  <c r="D1080" i="1"/>
  <c r="B1081" i="1"/>
  <c r="C1081" i="1"/>
  <c r="D1081" i="1"/>
  <c r="B1082" i="1"/>
  <c r="C1082" i="1"/>
  <c r="D1082" i="1"/>
  <c r="B1083" i="1"/>
  <c r="C1083" i="1"/>
  <c r="D1083" i="1"/>
  <c r="B1084" i="1"/>
  <c r="C1084" i="1"/>
  <c r="D1084" i="1"/>
  <c r="B1085" i="1"/>
  <c r="C1085" i="1"/>
  <c r="D1085" i="1"/>
  <c r="B1086" i="1"/>
  <c r="C1086" i="1"/>
  <c r="D1086" i="1"/>
  <c r="B1087" i="1"/>
  <c r="C1087" i="1"/>
  <c r="D1087" i="1"/>
  <c r="B1088" i="1"/>
  <c r="C1088" i="1"/>
  <c r="D1088" i="1"/>
  <c r="B1089" i="1"/>
  <c r="C1089" i="1"/>
  <c r="D1089" i="1"/>
  <c r="B1090" i="1"/>
  <c r="C1090" i="1"/>
  <c r="D1090" i="1"/>
  <c r="B1091" i="1"/>
  <c r="C1091" i="1"/>
  <c r="D1091" i="1"/>
  <c r="B1092" i="1"/>
  <c r="C1092" i="1"/>
  <c r="D1092" i="1"/>
  <c r="B1093" i="1"/>
  <c r="C1093" i="1"/>
  <c r="D1093" i="1"/>
  <c r="B1094" i="1"/>
  <c r="C1094" i="1"/>
  <c r="D1094" i="1"/>
  <c r="B1095" i="1"/>
  <c r="C1095" i="1"/>
  <c r="D1095" i="1"/>
  <c r="B1096" i="1"/>
  <c r="C1096" i="1"/>
  <c r="D1096" i="1"/>
  <c r="B1097" i="1"/>
  <c r="C1097" i="1"/>
  <c r="D1097" i="1"/>
  <c r="B1098" i="1"/>
  <c r="C1098" i="1"/>
  <c r="D1098" i="1"/>
  <c r="B1099" i="1"/>
  <c r="C1099" i="1"/>
  <c r="D1099" i="1"/>
  <c r="B1100" i="1"/>
  <c r="C1100" i="1"/>
  <c r="D1100" i="1"/>
  <c r="B1101" i="1"/>
  <c r="C1101" i="1"/>
  <c r="D1101" i="1"/>
  <c r="B1102" i="1"/>
  <c r="C1102" i="1"/>
  <c r="D1102" i="1"/>
  <c r="B1103" i="1"/>
  <c r="C1103" i="1"/>
  <c r="D1103" i="1"/>
  <c r="B1104" i="1"/>
  <c r="C1104" i="1"/>
  <c r="D1104" i="1"/>
  <c r="B1105" i="1"/>
  <c r="C1105" i="1"/>
  <c r="D1105" i="1"/>
  <c r="B1106" i="1"/>
  <c r="C1106" i="1"/>
  <c r="D1106" i="1"/>
  <c r="B1107" i="1"/>
  <c r="C1107" i="1"/>
  <c r="D1107" i="1"/>
  <c r="B1108" i="1"/>
  <c r="C1108" i="1"/>
  <c r="D1108" i="1"/>
  <c r="B1109" i="1"/>
  <c r="C1109" i="1"/>
  <c r="D1109" i="1"/>
  <c r="B1110" i="1"/>
  <c r="C1110" i="1"/>
  <c r="D1110" i="1"/>
  <c r="B1111" i="1"/>
  <c r="C1111" i="1"/>
  <c r="D1111" i="1"/>
  <c r="B1112" i="1"/>
  <c r="C1112" i="1"/>
  <c r="D1112" i="1"/>
  <c r="B1113" i="1"/>
  <c r="C1113" i="1"/>
  <c r="D1113" i="1"/>
  <c r="B1114" i="1"/>
  <c r="C1114" i="1"/>
  <c r="D1114" i="1"/>
  <c r="B1115" i="1"/>
  <c r="C1115" i="1"/>
  <c r="D1115" i="1"/>
  <c r="B1116" i="1"/>
  <c r="C1116" i="1"/>
  <c r="D1116" i="1"/>
  <c r="B1117" i="1"/>
  <c r="C1117" i="1"/>
  <c r="D1117" i="1"/>
  <c r="B1118" i="1"/>
  <c r="C1118" i="1"/>
  <c r="D1118" i="1"/>
  <c r="B1119" i="1"/>
  <c r="C1119" i="1"/>
  <c r="D1119" i="1"/>
  <c r="B1120" i="1"/>
  <c r="C1120" i="1"/>
  <c r="D1120" i="1"/>
  <c r="B1121" i="1"/>
  <c r="C1121" i="1"/>
  <c r="D1121" i="1"/>
  <c r="B1122" i="1"/>
  <c r="C1122" i="1"/>
  <c r="D1122" i="1"/>
  <c r="B1123" i="1"/>
  <c r="C1123" i="1"/>
  <c r="D1123" i="1"/>
  <c r="B1124" i="1"/>
  <c r="C1124" i="1"/>
  <c r="D1124" i="1"/>
  <c r="B1125" i="1"/>
  <c r="C1125" i="1"/>
  <c r="D1125" i="1"/>
  <c r="B1126" i="1"/>
  <c r="C1126" i="1"/>
  <c r="D1126" i="1"/>
  <c r="B1127" i="1"/>
  <c r="C1127" i="1"/>
  <c r="D1127" i="1"/>
  <c r="B1128" i="1"/>
  <c r="C1128" i="1"/>
  <c r="D1128" i="1"/>
  <c r="B1129" i="1"/>
  <c r="C1129" i="1"/>
  <c r="D1129" i="1"/>
  <c r="B1130" i="1"/>
  <c r="C1130" i="1"/>
  <c r="D1130" i="1"/>
  <c r="B1131" i="1"/>
  <c r="C1131" i="1"/>
  <c r="D1131" i="1"/>
  <c r="B1132" i="1"/>
  <c r="C1132" i="1"/>
  <c r="D1132" i="1"/>
  <c r="B1133" i="1"/>
  <c r="C1133" i="1"/>
  <c r="D1133" i="1"/>
  <c r="B1134" i="1"/>
  <c r="C1134" i="1"/>
  <c r="D1134" i="1"/>
  <c r="B1135" i="1"/>
  <c r="C1135" i="1"/>
  <c r="D1135" i="1"/>
  <c r="B1136" i="1"/>
  <c r="C1136" i="1"/>
  <c r="D1136" i="1"/>
  <c r="B1137" i="1"/>
  <c r="C1137" i="1"/>
  <c r="D1137" i="1"/>
  <c r="B1138" i="1"/>
  <c r="C1138" i="1"/>
  <c r="D1138" i="1"/>
  <c r="B1139" i="1"/>
  <c r="C1139" i="1"/>
  <c r="D1139" i="1"/>
  <c r="B1140" i="1"/>
  <c r="C1140" i="1"/>
  <c r="D1140" i="1"/>
  <c r="B1141" i="1"/>
  <c r="C1141" i="1"/>
  <c r="D1141" i="1"/>
  <c r="B1142" i="1"/>
  <c r="C1142" i="1"/>
  <c r="D1142" i="1"/>
  <c r="B1143" i="1"/>
  <c r="C1143" i="1"/>
  <c r="D1143" i="1"/>
  <c r="B1144" i="1"/>
  <c r="C1144" i="1"/>
  <c r="D1144" i="1"/>
  <c r="B1145" i="1"/>
  <c r="C1145" i="1"/>
  <c r="D1145" i="1"/>
  <c r="B1146" i="1"/>
  <c r="C1146" i="1"/>
  <c r="D1146" i="1"/>
  <c r="B1147" i="1"/>
  <c r="C1147" i="1"/>
  <c r="D1147" i="1"/>
  <c r="B1148" i="1"/>
  <c r="C1148" i="1"/>
  <c r="D1148" i="1"/>
  <c r="B1149" i="1"/>
  <c r="C1149" i="1"/>
  <c r="D1149" i="1"/>
  <c r="B1150" i="1"/>
  <c r="C1150" i="1"/>
  <c r="D1150" i="1"/>
  <c r="B1151" i="1"/>
  <c r="C1151" i="1"/>
  <c r="D1151" i="1"/>
  <c r="B1152" i="1"/>
  <c r="C1152" i="1"/>
  <c r="D1152" i="1"/>
  <c r="B1153" i="1"/>
  <c r="C1153" i="1"/>
  <c r="D1153" i="1"/>
  <c r="B1154" i="1"/>
  <c r="C1154" i="1"/>
  <c r="D1154" i="1"/>
  <c r="B1155" i="1"/>
  <c r="C1155" i="1"/>
  <c r="D1155" i="1"/>
  <c r="B1156" i="1"/>
  <c r="C1156" i="1"/>
  <c r="D1156" i="1"/>
  <c r="B1157" i="1"/>
  <c r="C1157" i="1"/>
  <c r="D1157" i="1"/>
  <c r="B1158" i="1"/>
  <c r="C1158" i="1"/>
  <c r="D1158" i="1"/>
  <c r="B1159" i="1"/>
  <c r="C1159" i="1"/>
  <c r="D1159" i="1"/>
  <c r="B1160" i="1"/>
  <c r="C1160" i="1"/>
  <c r="D1160" i="1"/>
  <c r="B1161" i="1"/>
  <c r="C1161" i="1"/>
  <c r="D1161" i="1"/>
  <c r="B1162" i="1"/>
  <c r="C1162" i="1"/>
  <c r="D1162" i="1"/>
  <c r="B1163" i="1"/>
  <c r="C1163" i="1"/>
  <c r="D1163" i="1"/>
  <c r="B1164" i="1"/>
  <c r="C1164" i="1"/>
  <c r="D1164" i="1"/>
  <c r="B1165" i="1"/>
  <c r="C1165" i="1"/>
  <c r="D1165" i="1"/>
  <c r="B1166" i="1"/>
  <c r="C1166" i="1"/>
  <c r="D1166" i="1"/>
  <c r="B1167" i="1"/>
  <c r="C1167" i="1"/>
  <c r="D1167" i="1"/>
  <c r="B1168" i="1"/>
  <c r="C1168" i="1"/>
  <c r="D1168" i="1"/>
  <c r="B1169" i="1"/>
  <c r="C1169" i="1"/>
  <c r="D1169" i="1"/>
  <c r="B1170" i="1"/>
  <c r="C1170" i="1"/>
  <c r="D1170" i="1"/>
  <c r="B1171" i="1"/>
  <c r="C1171" i="1"/>
  <c r="D1171" i="1"/>
  <c r="B1172" i="1"/>
  <c r="C1172" i="1"/>
  <c r="D1172" i="1"/>
  <c r="B1173" i="1"/>
  <c r="C1173" i="1"/>
  <c r="D1173" i="1"/>
  <c r="B1174" i="1"/>
  <c r="C1174" i="1"/>
  <c r="D1174" i="1"/>
  <c r="B1175" i="1"/>
  <c r="C1175" i="1"/>
  <c r="D1175" i="1"/>
  <c r="B1176" i="1"/>
  <c r="C1176" i="1"/>
  <c r="D1176" i="1"/>
  <c r="B1177" i="1"/>
  <c r="C1177" i="1"/>
  <c r="D1177" i="1"/>
  <c r="B1178" i="1"/>
  <c r="C1178" i="1"/>
  <c r="D1178" i="1"/>
  <c r="B1179" i="1"/>
  <c r="C1179" i="1"/>
  <c r="D1179" i="1"/>
  <c r="B1180" i="1"/>
  <c r="C1180" i="1"/>
  <c r="D1180" i="1"/>
  <c r="B1181" i="1"/>
  <c r="C1181" i="1"/>
  <c r="D1181" i="1"/>
  <c r="B1182" i="1"/>
  <c r="C1182" i="1"/>
  <c r="D1182" i="1"/>
  <c r="B1183" i="1"/>
  <c r="C1183" i="1"/>
  <c r="D1183" i="1"/>
  <c r="B1184" i="1"/>
  <c r="C1184" i="1"/>
  <c r="D1184" i="1"/>
  <c r="B1185" i="1"/>
  <c r="C1185" i="1"/>
  <c r="D1185" i="1"/>
  <c r="B1186" i="1"/>
  <c r="C1186" i="1"/>
  <c r="D1186" i="1"/>
  <c r="B1187" i="1"/>
  <c r="C1187" i="1"/>
  <c r="D1187" i="1"/>
  <c r="B1188" i="1"/>
  <c r="C1188" i="1"/>
  <c r="D1188" i="1"/>
  <c r="B1189" i="1"/>
  <c r="C1189" i="1"/>
  <c r="D1189" i="1"/>
  <c r="B1190" i="1"/>
  <c r="C1190" i="1"/>
  <c r="D1190" i="1"/>
  <c r="B1191" i="1"/>
  <c r="C1191" i="1"/>
  <c r="D1191" i="1"/>
  <c r="B1192" i="1"/>
  <c r="C1192" i="1"/>
  <c r="D1192" i="1"/>
  <c r="B1193" i="1"/>
  <c r="C1193" i="1"/>
  <c r="D1193" i="1"/>
  <c r="B1194" i="1"/>
  <c r="C1194" i="1"/>
  <c r="D1194" i="1"/>
  <c r="B1195" i="1"/>
  <c r="C1195" i="1"/>
  <c r="D1195" i="1"/>
  <c r="B1196" i="1"/>
  <c r="C1196" i="1"/>
  <c r="D1196" i="1"/>
  <c r="B1197" i="1"/>
  <c r="C1197" i="1"/>
  <c r="D1197" i="1"/>
  <c r="B1198" i="1"/>
  <c r="C1198" i="1"/>
  <c r="D1198" i="1"/>
  <c r="B1199" i="1"/>
  <c r="C1199" i="1"/>
  <c r="D1199" i="1"/>
  <c r="B1200" i="1"/>
  <c r="C1200" i="1"/>
  <c r="D1200" i="1"/>
  <c r="B1201" i="1"/>
  <c r="C1201" i="1"/>
  <c r="D1201" i="1"/>
  <c r="B1202" i="1"/>
  <c r="C1202" i="1"/>
  <c r="D1202" i="1"/>
  <c r="B1203" i="1"/>
  <c r="C1203" i="1"/>
  <c r="D1203" i="1"/>
  <c r="B1204" i="1"/>
  <c r="C1204" i="1"/>
  <c r="D1204" i="1"/>
  <c r="B1205" i="1"/>
  <c r="C1205" i="1"/>
  <c r="D1205" i="1"/>
  <c r="B1206" i="1"/>
  <c r="C1206" i="1"/>
  <c r="D1206" i="1"/>
  <c r="B1207" i="1"/>
  <c r="C1207" i="1"/>
  <c r="D1207" i="1"/>
  <c r="B1208" i="1"/>
  <c r="C1208" i="1"/>
  <c r="D1208" i="1"/>
  <c r="B1209" i="1"/>
  <c r="C1209" i="1"/>
  <c r="D1209" i="1"/>
  <c r="B1210" i="1"/>
  <c r="C1210" i="1"/>
  <c r="D1210" i="1"/>
  <c r="B1211" i="1"/>
  <c r="C1211" i="1"/>
  <c r="D1211" i="1"/>
  <c r="B1212" i="1"/>
  <c r="C1212" i="1"/>
  <c r="D1212" i="1"/>
  <c r="B1213" i="1"/>
  <c r="C1213" i="1"/>
  <c r="D1213" i="1"/>
  <c r="B1214" i="1"/>
  <c r="C1214" i="1"/>
  <c r="D1214" i="1"/>
  <c r="B1215" i="1"/>
  <c r="C1215" i="1"/>
  <c r="D1215" i="1"/>
  <c r="B1216" i="1"/>
  <c r="C1216" i="1"/>
  <c r="D1216" i="1"/>
  <c r="B1217" i="1"/>
  <c r="C1217" i="1"/>
  <c r="D1217" i="1"/>
  <c r="B1218" i="1"/>
  <c r="C1218" i="1"/>
  <c r="D1218" i="1"/>
  <c r="B1219" i="1"/>
  <c r="C1219" i="1"/>
  <c r="D1219" i="1"/>
  <c r="B1220" i="1"/>
  <c r="C1220" i="1"/>
  <c r="D1220" i="1"/>
  <c r="B1221" i="1"/>
  <c r="C1221" i="1"/>
  <c r="D1221" i="1"/>
  <c r="B1222" i="1"/>
  <c r="C1222" i="1"/>
  <c r="D1222" i="1"/>
  <c r="B1223" i="1"/>
  <c r="C1223" i="1"/>
  <c r="D1223" i="1"/>
  <c r="B1224" i="1"/>
  <c r="C1224" i="1"/>
  <c r="D1224" i="1"/>
  <c r="B1225" i="1"/>
  <c r="C1225" i="1"/>
  <c r="D1225" i="1"/>
  <c r="B1226" i="1"/>
  <c r="C1226" i="1"/>
  <c r="D1226" i="1"/>
  <c r="B1227" i="1"/>
  <c r="C1227" i="1"/>
  <c r="D1227" i="1"/>
  <c r="B1228" i="1"/>
  <c r="C1228" i="1"/>
  <c r="D1228" i="1"/>
  <c r="B1229" i="1"/>
  <c r="C1229" i="1"/>
  <c r="D1229" i="1"/>
  <c r="B1230" i="1"/>
  <c r="C1230" i="1"/>
  <c r="D1230" i="1"/>
  <c r="B1231" i="1"/>
  <c r="C1231" i="1"/>
  <c r="D1231" i="1"/>
  <c r="B1232" i="1"/>
  <c r="C1232" i="1"/>
  <c r="D1232" i="1"/>
  <c r="B1233" i="1"/>
  <c r="C1233" i="1"/>
  <c r="D1233" i="1"/>
  <c r="B1234" i="1"/>
  <c r="C1234" i="1"/>
  <c r="D1234" i="1"/>
  <c r="B1235" i="1"/>
  <c r="C1235" i="1"/>
  <c r="D1235" i="1"/>
  <c r="B1236" i="1"/>
  <c r="C1236" i="1"/>
  <c r="D1236" i="1"/>
  <c r="B1237" i="1"/>
  <c r="C1237" i="1"/>
  <c r="D1237" i="1"/>
  <c r="B1238" i="1"/>
  <c r="C1238" i="1"/>
  <c r="D1238" i="1"/>
  <c r="B1239" i="1"/>
  <c r="C1239" i="1"/>
  <c r="D1239" i="1"/>
  <c r="B1240" i="1"/>
  <c r="C1240" i="1"/>
  <c r="D1240" i="1"/>
  <c r="B1241" i="1"/>
  <c r="C1241" i="1"/>
  <c r="D1241" i="1"/>
  <c r="B1242" i="1"/>
  <c r="C1242" i="1"/>
  <c r="D1242" i="1"/>
  <c r="B1243" i="1"/>
  <c r="C1243" i="1"/>
  <c r="D1243" i="1"/>
  <c r="B1244" i="1"/>
  <c r="C1244" i="1"/>
  <c r="D1244" i="1"/>
  <c r="B1245" i="1"/>
  <c r="C1245" i="1"/>
  <c r="D1245" i="1"/>
  <c r="B1246" i="1"/>
  <c r="C1246" i="1"/>
  <c r="D1246" i="1"/>
  <c r="B1247" i="1"/>
  <c r="C1247" i="1"/>
  <c r="D1247" i="1"/>
  <c r="B1248" i="1"/>
  <c r="C1248" i="1"/>
  <c r="D1248" i="1"/>
  <c r="B1249" i="1"/>
  <c r="C1249" i="1"/>
  <c r="D1249" i="1"/>
  <c r="B1250" i="1"/>
  <c r="C1250" i="1"/>
  <c r="D1250" i="1"/>
  <c r="B1251" i="1"/>
  <c r="C1251" i="1"/>
  <c r="D1251" i="1"/>
  <c r="B1252" i="1"/>
  <c r="C1252" i="1"/>
  <c r="D1252" i="1"/>
  <c r="B1253" i="1"/>
  <c r="C1253" i="1"/>
  <c r="D1253" i="1"/>
  <c r="B1254" i="1"/>
  <c r="C1254" i="1"/>
  <c r="D1254" i="1"/>
  <c r="B1255" i="1"/>
  <c r="C1255" i="1"/>
  <c r="D1255" i="1"/>
  <c r="B1256" i="1"/>
  <c r="C1256" i="1"/>
  <c r="D1256" i="1"/>
  <c r="B1257" i="1"/>
  <c r="C1257" i="1"/>
  <c r="D1257" i="1"/>
  <c r="B1258" i="1"/>
  <c r="C1258" i="1"/>
  <c r="D1258" i="1"/>
  <c r="B1259" i="1"/>
  <c r="C1259" i="1"/>
  <c r="D1259" i="1"/>
  <c r="B1260" i="1"/>
  <c r="C1260" i="1"/>
  <c r="D1260" i="1"/>
  <c r="B1261" i="1"/>
  <c r="C1261" i="1"/>
  <c r="D1261" i="1"/>
  <c r="B1262" i="1"/>
  <c r="C1262" i="1"/>
  <c r="D1262" i="1"/>
  <c r="B1263" i="1"/>
  <c r="C1263" i="1"/>
  <c r="D1263" i="1"/>
  <c r="B1264" i="1"/>
  <c r="C1264" i="1"/>
  <c r="D1264" i="1"/>
  <c r="B1265" i="1"/>
  <c r="C1265" i="1"/>
  <c r="D1265" i="1"/>
  <c r="B1266" i="1"/>
  <c r="C1266" i="1"/>
  <c r="D1266" i="1"/>
  <c r="B1267" i="1"/>
  <c r="C1267" i="1"/>
  <c r="D1267" i="1"/>
  <c r="B1268" i="1"/>
  <c r="C1268" i="1"/>
  <c r="D1268" i="1"/>
  <c r="B1269" i="1"/>
  <c r="C1269" i="1"/>
  <c r="D1269" i="1"/>
  <c r="B1270" i="1"/>
  <c r="C1270" i="1"/>
  <c r="D1270" i="1"/>
  <c r="B1271" i="1"/>
  <c r="C1271" i="1"/>
  <c r="D1271" i="1"/>
  <c r="B1272" i="1"/>
  <c r="C1272" i="1"/>
  <c r="D1272" i="1"/>
  <c r="B1273" i="1"/>
  <c r="C1273" i="1"/>
  <c r="D1273" i="1"/>
  <c r="B1274" i="1"/>
  <c r="C1274" i="1"/>
  <c r="D1274" i="1"/>
  <c r="B1275" i="1"/>
  <c r="C1275" i="1"/>
  <c r="D1275" i="1"/>
  <c r="B1276" i="1"/>
  <c r="C1276" i="1"/>
  <c r="D1276" i="1"/>
  <c r="B1277" i="1"/>
  <c r="C1277" i="1"/>
  <c r="D1277" i="1"/>
  <c r="B1278" i="1"/>
  <c r="C1278" i="1"/>
  <c r="D1278" i="1"/>
  <c r="B1279" i="1"/>
  <c r="C1279" i="1"/>
  <c r="D1279" i="1"/>
  <c r="B1280" i="1"/>
  <c r="C1280" i="1"/>
  <c r="D1280" i="1"/>
  <c r="B1281" i="1"/>
  <c r="C1281" i="1"/>
  <c r="D1281" i="1"/>
  <c r="B1282" i="1"/>
  <c r="C1282" i="1"/>
  <c r="D1282" i="1"/>
  <c r="B1283" i="1"/>
  <c r="C1283" i="1"/>
  <c r="D1283" i="1"/>
  <c r="B1284" i="1"/>
  <c r="C1284" i="1"/>
  <c r="D1284" i="1"/>
  <c r="B1285" i="1"/>
  <c r="C1285" i="1"/>
  <c r="D1285" i="1"/>
  <c r="B1286" i="1"/>
  <c r="C1286" i="1"/>
  <c r="D1286" i="1"/>
  <c r="B1287" i="1"/>
  <c r="C1287" i="1"/>
  <c r="D1287" i="1"/>
  <c r="B1288" i="1"/>
  <c r="C1288" i="1"/>
  <c r="D1288" i="1"/>
  <c r="B1289" i="1"/>
  <c r="C1289" i="1"/>
  <c r="D1289" i="1"/>
  <c r="B1290" i="1"/>
  <c r="C1290" i="1"/>
  <c r="D1290" i="1"/>
  <c r="B1291" i="1"/>
  <c r="C1291" i="1"/>
  <c r="D1291" i="1"/>
  <c r="B1292" i="1"/>
  <c r="C1292" i="1"/>
  <c r="D1292" i="1"/>
  <c r="B1293" i="1"/>
  <c r="C1293" i="1"/>
  <c r="D1293" i="1"/>
  <c r="B1294" i="1"/>
  <c r="C1294" i="1"/>
  <c r="D1294" i="1"/>
  <c r="B1295" i="1"/>
  <c r="C1295" i="1"/>
  <c r="D1295" i="1"/>
  <c r="B1296" i="1"/>
  <c r="C1296" i="1"/>
  <c r="D1296" i="1"/>
  <c r="B1297" i="1"/>
  <c r="C1297" i="1"/>
  <c r="D1297" i="1"/>
  <c r="B1298" i="1"/>
  <c r="C1298" i="1"/>
  <c r="D1298" i="1"/>
  <c r="B1299" i="1"/>
  <c r="C1299" i="1"/>
  <c r="D1299" i="1"/>
  <c r="B1300" i="1"/>
  <c r="C1300" i="1"/>
  <c r="D1300" i="1"/>
  <c r="B1301" i="1"/>
  <c r="C1301" i="1"/>
  <c r="D1301" i="1"/>
  <c r="B1302" i="1"/>
  <c r="C1302" i="1"/>
  <c r="D1302" i="1"/>
  <c r="B1303" i="1"/>
  <c r="C1303" i="1"/>
  <c r="D1303" i="1"/>
  <c r="B1304" i="1"/>
  <c r="C1304" i="1"/>
  <c r="D1304" i="1"/>
  <c r="B1305" i="1"/>
  <c r="C1305" i="1"/>
  <c r="D1305" i="1"/>
  <c r="B1306" i="1"/>
  <c r="C1306" i="1"/>
  <c r="D1306" i="1"/>
  <c r="B1307" i="1"/>
  <c r="C1307" i="1"/>
  <c r="D1307" i="1"/>
  <c r="B1308" i="1"/>
  <c r="C1308" i="1"/>
  <c r="D1308" i="1"/>
  <c r="B1309" i="1"/>
  <c r="C1309" i="1"/>
  <c r="D1309" i="1"/>
  <c r="B1310" i="1"/>
  <c r="C1310" i="1"/>
  <c r="D1310" i="1"/>
  <c r="B1311" i="1"/>
  <c r="C1311" i="1"/>
  <c r="D1311" i="1"/>
  <c r="B1312" i="1"/>
  <c r="C1312" i="1"/>
  <c r="D1312" i="1"/>
  <c r="B1313" i="1"/>
  <c r="C1313" i="1"/>
  <c r="D1313" i="1"/>
  <c r="B1314" i="1"/>
  <c r="C1314" i="1"/>
  <c r="D1314" i="1"/>
  <c r="B1315" i="1"/>
  <c r="C1315" i="1"/>
  <c r="D1315" i="1"/>
  <c r="B1316" i="1"/>
  <c r="C1316" i="1"/>
  <c r="D1316" i="1"/>
  <c r="B1317" i="1"/>
  <c r="C1317" i="1"/>
  <c r="D1317" i="1"/>
  <c r="B1318" i="1"/>
  <c r="C1318" i="1"/>
  <c r="D1318" i="1"/>
  <c r="B1319" i="1"/>
  <c r="C1319" i="1"/>
  <c r="D1319" i="1"/>
  <c r="B1320" i="1"/>
  <c r="C1320" i="1"/>
  <c r="D1320" i="1"/>
  <c r="B1321" i="1"/>
  <c r="C1321" i="1"/>
  <c r="D1321" i="1"/>
  <c r="B1322" i="1"/>
  <c r="C1322" i="1"/>
  <c r="D1322" i="1"/>
  <c r="B1323" i="1"/>
  <c r="C1323" i="1"/>
  <c r="D1323" i="1"/>
  <c r="B1324" i="1"/>
  <c r="C1324" i="1"/>
  <c r="D1324" i="1"/>
  <c r="B1325" i="1"/>
  <c r="C1325" i="1"/>
  <c r="D1325" i="1"/>
  <c r="B1326" i="1"/>
  <c r="C1326" i="1"/>
  <c r="D1326" i="1"/>
  <c r="B1327" i="1"/>
  <c r="C1327" i="1"/>
  <c r="D1327" i="1"/>
  <c r="B1328" i="1"/>
  <c r="C1328" i="1"/>
  <c r="D1328" i="1"/>
  <c r="B1329" i="1"/>
  <c r="C1329" i="1"/>
  <c r="D1329" i="1"/>
  <c r="B1330" i="1"/>
  <c r="C1330" i="1"/>
  <c r="D1330" i="1"/>
  <c r="B1331" i="1"/>
  <c r="C1331" i="1"/>
  <c r="D1331" i="1"/>
  <c r="B1332" i="1"/>
  <c r="C1332" i="1"/>
  <c r="D1332" i="1"/>
  <c r="B1333" i="1"/>
  <c r="C1333" i="1"/>
  <c r="D1333" i="1"/>
  <c r="B1334" i="1"/>
  <c r="C1334" i="1"/>
  <c r="D1334" i="1"/>
  <c r="B1335" i="1"/>
  <c r="C1335" i="1"/>
  <c r="D1335" i="1"/>
  <c r="B1336" i="1"/>
  <c r="C1336" i="1"/>
  <c r="D1336" i="1"/>
  <c r="B1337" i="1"/>
  <c r="C1337" i="1"/>
  <c r="D1337" i="1"/>
  <c r="B1338" i="1"/>
  <c r="C1338" i="1"/>
  <c r="D1338" i="1"/>
  <c r="B1339" i="1"/>
  <c r="C1339" i="1"/>
  <c r="D1339" i="1"/>
  <c r="B1340" i="1"/>
  <c r="C1340" i="1"/>
  <c r="D1340" i="1"/>
  <c r="B1341" i="1"/>
  <c r="C1341" i="1"/>
  <c r="D1341" i="1"/>
  <c r="B1342" i="1"/>
  <c r="C1342" i="1"/>
  <c r="D1342" i="1"/>
  <c r="B1343" i="1"/>
  <c r="C1343" i="1"/>
  <c r="D1343" i="1"/>
  <c r="B1344" i="1"/>
  <c r="C1344" i="1"/>
  <c r="D1344" i="1"/>
  <c r="B1345" i="1"/>
  <c r="C1345" i="1"/>
  <c r="D1345" i="1"/>
  <c r="B1346" i="1"/>
  <c r="C1346" i="1"/>
  <c r="D1346" i="1"/>
  <c r="B1347" i="1"/>
  <c r="C1347" i="1"/>
  <c r="D1347" i="1"/>
  <c r="B1348" i="1"/>
  <c r="C1348" i="1"/>
  <c r="D1348" i="1"/>
  <c r="B1349" i="1"/>
  <c r="C1349" i="1"/>
  <c r="D1349" i="1"/>
  <c r="B1350" i="1"/>
  <c r="C1350" i="1"/>
  <c r="D1350" i="1"/>
  <c r="B1351" i="1"/>
  <c r="C1351" i="1"/>
  <c r="D1351" i="1"/>
  <c r="B1352" i="1"/>
  <c r="C1352" i="1"/>
  <c r="D1352" i="1"/>
  <c r="B1353" i="1"/>
  <c r="C1353" i="1"/>
  <c r="D1353" i="1"/>
  <c r="B1354" i="1"/>
  <c r="C1354" i="1"/>
  <c r="D1354" i="1"/>
  <c r="B1355" i="1"/>
  <c r="C1355" i="1"/>
  <c r="D1355" i="1"/>
  <c r="B1356" i="1"/>
  <c r="C1356" i="1"/>
  <c r="D1356" i="1"/>
  <c r="B1357" i="1"/>
  <c r="C1357" i="1"/>
  <c r="D1357" i="1"/>
  <c r="B1358" i="1"/>
  <c r="C1358" i="1"/>
  <c r="D1358" i="1"/>
  <c r="B1359" i="1"/>
  <c r="C1359" i="1"/>
  <c r="D1359" i="1"/>
  <c r="B1360" i="1"/>
  <c r="C1360" i="1"/>
  <c r="D1360" i="1"/>
  <c r="B1361" i="1"/>
  <c r="C1361" i="1"/>
  <c r="D1361" i="1"/>
  <c r="B1362" i="1"/>
  <c r="C1362" i="1"/>
  <c r="D1362" i="1"/>
  <c r="B1363" i="1"/>
  <c r="C1363" i="1"/>
  <c r="D1363" i="1"/>
  <c r="B1364" i="1"/>
  <c r="C1364" i="1"/>
  <c r="D1364" i="1"/>
  <c r="B1365" i="1"/>
  <c r="C1365" i="1"/>
  <c r="D1365" i="1"/>
  <c r="B1366" i="1"/>
  <c r="C1366" i="1"/>
  <c r="D1366" i="1"/>
  <c r="B1367" i="1"/>
  <c r="C1367" i="1"/>
  <c r="D1367" i="1"/>
  <c r="B1368" i="1"/>
  <c r="C1368" i="1"/>
  <c r="D1368" i="1"/>
  <c r="B1369" i="1"/>
  <c r="C1369" i="1"/>
  <c r="D1369" i="1"/>
  <c r="B1370" i="1"/>
  <c r="C1370" i="1"/>
  <c r="D1370" i="1"/>
  <c r="B1371" i="1"/>
  <c r="C1371" i="1"/>
  <c r="D1371" i="1"/>
  <c r="B1372" i="1"/>
  <c r="C1372" i="1"/>
  <c r="D1372" i="1"/>
  <c r="B1373" i="1"/>
  <c r="C1373" i="1"/>
  <c r="D1373" i="1"/>
  <c r="B1374" i="1"/>
  <c r="C1374" i="1"/>
  <c r="D1374" i="1"/>
  <c r="B1375" i="1"/>
  <c r="C1375" i="1"/>
  <c r="D1375" i="1"/>
  <c r="B1376" i="1"/>
  <c r="C1376" i="1"/>
  <c r="D1376" i="1"/>
  <c r="B1377" i="1"/>
  <c r="C1377" i="1"/>
  <c r="D1377" i="1"/>
  <c r="B1378" i="1"/>
  <c r="C1378" i="1"/>
  <c r="D1378" i="1"/>
  <c r="B1379" i="1"/>
  <c r="C1379" i="1"/>
  <c r="D1379" i="1"/>
  <c r="B1380" i="1"/>
  <c r="C1380" i="1"/>
  <c r="D1380" i="1"/>
  <c r="B1381" i="1"/>
  <c r="C1381" i="1"/>
  <c r="D1381" i="1"/>
  <c r="B1382" i="1"/>
  <c r="C1382" i="1"/>
  <c r="D1382" i="1"/>
  <c r="B1383" i="1"/>
  <c r="C1383" i="1"/>
  <c r="D1383" i="1"/>
  <c r="B1384" i="1"/>
  <c r="C1384" i="1"/>
  <c r="D1384" i="1"/>
  <c r="B1385" i="1"/>
  <c r="C1385" i="1"/>
  <c r="D1385" i="1"/>
  <c r="B1386" i="1"/>
  <c r="C1386" i="1"/>
  <c r="D1386" i="1"/>
  <c r="B1387" i="1"/>
  <c r="C1387" i="1"/>
  <c r="D1387" i="1"/>
  <c r="B1388" i="1"/>
  <c r="C1388" i="1"/>
  <c r="D1388" i="1"/>
  <c r="B1389" i="1"/>
  <c r="C1389" i="1"/>
  <c r="D1389" i="1"/>
  <c r="B1390" i="1"/>
  <c r="C1390" i="1"/>
  <c r="D1390" i="1"/>
  <c r="B1391" i="1"/>
  <c r="C1391" i="1"/>
  <c r="D1391" i="1"/>
  <c r="B1392" i="1"/>
  <c r="C1392" i="1"/>
  <c r="D1392" i="1"/>
  <c r="B1393" i="1"/>
  <c r="C1393" i="1"/>
  <c r="D1393" i="1"/>
  <c r="B1394" i="1"/>
  <c r="C1394" i="1"/>
  <c r="D1394" i="1"/>
  <c r="B1395" i="1"/>
  <c r="C1395" i="1"/>
  <c r="D1395" i="1"/>
  <c r="B1396" i="1"/>
  <c r="C1396" i="1"/>
  <c r="D1396" i="1"/>
  <c r="B1397" i="1"/>
  <c r="C1397" i="1"/>
  <c r="D1397" i="1"/>
  <c r="B1398" i="1"/>
  <c r="C1398" i="1"/>
  <c r="D1398" i="1"/>
  <c r="B1399" i="1"/>
  <c r="C1399" i="1"/>
  <c r="D1399" i="1"/>
  <c r="B1400" i="1"/>
  <c r="C1400" i="1"/>
  <c r="D1400" i="1"/>
  <c r="B1401" i="1"/>
  <c r="C1401" i="1"/>
  <c r="D1401" i="1"/>
  <c r="B1402" i="1"/>
  <c r="C1402" i="1"/>
  <c r="D1402" i="1"/>
  <c r="B1403" i="1"/>
  <c r="C1403" i="1"/>
  <c r="D1403" i="1"/>
  <c r="B1404" i="1"/>
  <c r="C1404" i="1"/>
  <c r="D1404" i="1"/>
  <c r="B1405" i="1"/>
  <c r="C1405" i="1"/>
  <c r="D1405" i="1"/>
  <c r="B1406" i="1"/>
  <c r="C1406" i="1"/>
  <c r="D1406" i="1"/>
  <c r="B1407" i="1"/>
  <c r="C1407" i="1"/>
  <c r="D1407" i="1"/>
  <c r="B1408" i="1"/>
  <c r="C1408" i="1"/>
  <c r="D1408" i="1"/>
  <c r="B1409" i="1"/>
  <c r="C1409" i="1"/>
  <c r="D1409" i="1"/>
  <c r="B1410" i="1"/>
  <c r="C1410" i="1"/>
  <c r="D1410" i="1"/>
  <c r="B1411" i="1"/>
  <c r="C1411" i="1"/>
  <c r="D1411" i="1"/>
  <c r="B1412" i="1"/>
  <c r="C1412" i="1"/>
  <c r="D1412" i="1"/>
  <c r="B1413" i="1"/>
  <c r="C1413" i="1"/>
  <c r="D1413" i="1"/>
  <c r="B1414" i="1"/>
  <c r="C1414" i="1"/>
  <c r="D1414" i="1"/>
  <c r="B1415" i="1"/>
  <c r="C1415" i="1"/>
  <c r="D1415" i="1"/>
  <c r="B1416" i="1"/>
  <c r="C1416" i="1"/>
  <c r="D1416" i="1"/>
  <c r="B1417" i="1"/>
  <c r="C1417" i="1"/>
  <c r="D1417" i="1"/>
  <c r="B1418" i="1"/>
  <c r="C1418" i="1"/>
  <c r="D1418" i="1"/>
  <c r="B1419" i="1"/>
  <c r="C1419" i="1"/>
  <c r="D1419" i="1"/>
  <c r="B1420" i="1"/>
  <c r="C1420" i="1"/>
  <c r="D1420" i="1"/>
  <c r="B1421" i="1"/>
  <c r="C1421" i="1"/>
  <c r="D1421" i="1"/>
  <c r="B1422" i="1"/>
  <c r="C1422" i="1"/>
  <c r="D1422" i="1"/>
  <c r="B1423" i="1"/>
  <c r="C1423" i="1"/>
  <c r="D1423" i="1"/>
  <c r="B1424" i="1"/>
  <c r="C1424" i="1"/>
  <c r="D1424" i="1"/>
  <c r="B1425" i="1"/>
  <c r="C1425" i="1"/>
  <c r="D1425" i="1"/>
  <c r="B1426" i="1"/>
  <c r="C1426" i="1"/>
  <c r="D1426" i="1"/>
  <c r="B1427" i="1"/>
  <c r="C1427" i="1"/>
  <c r="D1427" i="1"/>
  <c r="B1428" i="1"/>
  <c r="C1428" i="1"/>
  <c r="D1428" i="1"/>
  <c r="B1429" i="1"/>
  <c r="C1429" i="1"/>
  <c r="D1429" i="1"/>
  <c r="B1430" i="1"/>
  <c r="C1430" i="1"/>
  <c r="D1430" i="1"/>
  <c r="B1431" i="1"/>
  <c r="C1431" i="1"/>
  <c r="D1431" i="1"/>
  <c r="B1432" i="1"/>
  <c r="C1432" i="1"/>
  <c r="D1432" i="1"/>
  <c r="B1433" i="1"/>
  <c r="C1433" i="1"/>
  <c r="D1433" i="1"/>
  <c r="B1434" i="1"/>
  <c r="C1434" i="1"/>
  <c r="D1434" i="1"/>
  <c r="B1435" i="1"/>
  <c r="C1435" i="1"/>
  <c r="D1435" i="1"/>
  <c r="B1436" i="1"/>
  <c r="C1436" i="1"/>
  <c r="D1436" i="1"/>
  <c r="B1437" i="1"/>
  <c r="C1437" i="1"/>
  <c r="D1437" i="1"/>
  <c r="B1438" i="1"/>
  <c r="C1438" i="1"/>
  <c r="D1438" i="1"/>
  <c r="B1439" i="1"/>
  <c r="C1439" i="1"/>
  <c r="D1439" i="1"/>
  <c r="B1440" i="1"/>
  <c r="C1440" i="1"/>
  <c r="D1440" i="1"/>
  <c r="B1441" i="1"/>
  <c r="C1441" i="1"/>
  <c r="D1441" i="1"/>
  <c r="B1442" i="1"/>
  <c r="C1442" i="1"/>
  <c r="D1442" i="1"/>
  <c r="B1443" i="1"/>
  <c r="C1443" i="1"/>
  <c r="D1443" i="1"/>
  <c r="B1444" i="1"/>
  <c r="C1444" i="1"/>
  <c r="D1444" i="1"/>
  <c r="B1445" i="1"/>
  <c r="C1445" i="1"/>
  <c r="D1445" i="1"/>
  <c r="B1446" i="1"/>
  <c r="C1446" i="1"/>
  <c r="D1446" i="1"/>
  <c r="B1447" i="1"/>
  <c r="C1447" i="1"/>
  <c r="D1447" i="1"/>
  <c r="B1448" i="1"/>
  <c r="C1448" i="1"/>
  <c r="D1448" i="1"/>
  <c r="B1449" i="1"/>
  <c r="C1449" i="1"/>
  <c r="D1449" i="1"/>
  <c r="B1450" i="1"/>
  <c r="C1450" i="1"/>
  <c r="D1450" i="1"/>
  <c r="B1451" i="1"/>
  <c r="C1451" i="1"/>
  <c r="D1451" i="1"/>
  <c r="B1452" i="1"/>
  <c r="C1452" i="1"/>
  <c r="D1452" i="1"/>
  <c r="B1453" i="1"/>
  <c r="C1453" i="1"/>
  <c r="D1453" i="1"/>
  <c r="B1454" i="1"/>
  <c r="C1454" i="1"/>
  <c r="D1454" i="1"/>
  <c r="B1455" i="1"/>
  <c r="C1455" i="1"/>
  <c r="D1455" i="1"/>
  <c r="B1456" i="1"/>
  <c r="C1456" i="1"/>
  <c r="D1456" i="1"/>
  <c r="B1457" i="1"/>
  <c r="C1457" i="1"/>
  <c r="D1457" i="1"/>
  <c r="B1458" i="1"/>
  <c r="C1458" i="1"/>
  <c r="D1458" i="1"/>
  <c r="B1459" i="1"/>
  <c r="C1459" i="1"/>
  <c r="D1459" i="1"/>
  <c r="B1460" i="1"/>
  <c r="C1460" i="1"/>
  <c r="D1460" i="1"/>
  <c r="B1461" i="1"/>
  <c r="C1461" i="1"/>
  <c r="D1461" i="1"/>
  <c r="B1462" i="1"/>
  <c r="C1462" i="1"/>
  <c r="D1462" i="1"/>
  <c r="B1463" i="1"/>
  <c r="C1463" i="1"/>
  <c r="D1463" i="1"/>
  <c r="B1464" i="1"/>
  <c r="C1464" i="1"/>
  <c r="D1464" i="1"/>
  <c r="B1465" i="1"/>
  <c r="C1465" i="1"/>
  <c r="D1465" i="1"/>
  <c r="B1466" i="1"/>
  <c r="C1466" i="1"/>
  <c r="D1466" i="1"/>
  <c r="B1467" i="1"/>
  <c r="C1467" i="1"/>
  <c r="D1467" i="1"/>
  <c r="B1468" i="1"/>
  <c r="C1468" i="1"/>
  <c r="D1468" i="1"/>
  <c r="B1469" i="1"/>
  <c r="C1469" i="1"/>
  <c r="D1469" i="1"/>
  <c r="B1470" i="1"/>
  <c r="C1470" i="1"/>
  <c r="D1470" i="1"/>
  <c r="B1471" i="1"/>
  <c r="C1471" i="1"/>
  <c r="D1471" i="1"/>
  <c r="B1472" i="1"/>
  <c r="C1472" i="1"/>
  <c r="D1472" i="1"/>
  <c r="B1473" i="1"/>
  <c r="C1473" i="1"/>
  <c r="D1473" i="1"/>
  <c r="B1474" i="1"/>
  <c r="C1474" i="1"/>
  <c r="D1474" i="1"/>
  <c r="B1475" i="1"/>
  <c r="C1475" i="1"/>
  <c r="D1475" i="1"/>
  <c r="B1476" i="1"/>
  <c r="C1476" i="1"/>
  <c r="D1476" i="1"/>
  <c r="B1477" i="1"/>
  <c r="C1477" i="1"/>
  <c r="D1477" i="1"/>
  <c r="B1478" i="1"/>
  <c r="C1478" i="1"/>
  <c r="D1478" i="1"/>
  <c r="B1479" i="1"/>
  <c r="C1479" i="1"/>
  <c r="D1479" i="1"/>
  <c r="B1480" i="1"/>
  <c r="C1480" i="1"/>
  <c r="D1480" i="1"/>
  <c r="B1481" i="1"/>
  <c r="C1481" i="1"/>
  <c r="D1481" i="1"/>
  <c r="B1482" i="1"/>
  <c r="C1482" i="1"/>
  <c r="D1482" i="1"/>
  <c r="B1483" i="1"/>
  <c r="C1483" i="1"/>
  <c r="D1483" i="1"/>
  <c r="B1484" i="1"/>
  <c r="C1484" i="1"/>
  <c r="D1484" i="1"/>
  <c r="B1485" i="1"/>
  <c r="C1485" i="1"/>
  <c r="D1485" i="1"/>
  <c r="B1486" i="1"/>
  <c r="C1486" i="1"/>
  <c r="D1486" i="1"/>
  <c r="B1487" i="1"/>
  <c r="C1487" i="1"/>
  <c r="D1487" i="1"/>
  <c r="B1488" i="1"/>
  <c r="C1488" i="1"/>
  <c r="D1488" i="1"/>
  <c r="B1489" i="1"/>
  <c r="C1489" i="1"/>
  <c r="D1489" i="1"/>
  <c r="B1490" i="1"/>
  <c r="C1490" i="1"/>
  <c r="D1490" i="1"/>
  <c r="B1491" i="1"/>
  <c r="C1491" i="1"/>
  <c r="D1491" i="1"/>
  <c r="B1492" i="1"/>
  <c r="C1492" i="1"/>
  <c r="D1492" i="1"/>
  <c r="B1493" i="1"/>
  <c r="C1493" i="1"/>
  <c r="D1493" i="1"/>
  <c r="B1494" i="1"/>
  <c r="C1494" i="1"/>
  <c r="D1494" i="1"/>
  <c r="B1495" i="1"/>
  <c r="C1495" i="1"/>
  <c r="D1495" i="1"/>
  <c r="B1496" i="1"/>
  <c r="C1496" i="1"/>
  <c r="D1496" i="1"/>
  <c r="B1497" i="1"/>
  <c r="C1497" i="1"/>
  <c r="D1497" i="1"/>
  <c r="B1498" i="1"/>
  <c r="C1498" i="1"/>
  <c r="D1498" i="1"/>
  <c r="B1499" i="1"/>
  <c r="C1499" i="1"/>
  <c r="D1499" i="1"/>
  <c r="B1500" i="1"/>
  <c r="C1500" i="1"/>
  <c r="D1500" i="1"/>
  <c r="B1501" i="1"/>
  <c r="C1501" i="1"/>
  <c r="D1501" i="1"/>
  <c r="B1502" i="1"/>
  <c r="C1502" i="1"/>
  <c r="D1502" i="1"/>
  <c r="B1503" i="1"/>
  <c r="C1503" i="1"/>
  <c r="D1503" i="1"/>
  <c r="B1504" i="1"/>
  <c r="C1504" i="1"/>
  <c r="D1504" i="1"/>
  <c r="B1505" i="1"/>
  <c r="C1505" i="1"/>
  <c r="D1505" i="1"/>
  <c r="B1506" i="1"/>
  <c r="C1506" i="1"/>
  <c r="D1506" i="1"/>
  <c r="B1507" i="1"/>
  <c r="C1507" i="1"/>
  <c r="D1507" i="1"/>
  <c r="B1508" i="1"/>
  <c r="C1508" i="1"/>
  <c r="D1508" i="1"/>
  <c r="B1509" i="1"/>
  <c r="C1509" i="1"/>
  <c r="D1509" i="1"/>
  <c r="B1510" i="1"/>
  <c r="C1510" i="1"/>
  <c r="D1510" i="1"/>
  <c r="B1511" i="1"/>
  <c r="C1511" i="1"/>
  <c r="D1511" i="1"/>
  <c r="B1512" i="1"/>
  <c r="C1512" i="1"/>
  <c r="D1512" i="1"/>
  <c r="B1513" i="1"/>
  <c r="C1513" i="1"/>
  <c r="D1513" i="1"/>
  <c r="B1514" i="1"/>
  <c r="C1514" i="1"/>
  <c r="D1514" i="1"/>
  <c r="B1515" i="1"/>
  <c r="C1515" i="1"/>
  <c r="D1515" i="1"/>
  <c r="B1516" i="1"/>
  <c r="C1516" i="1"/>
  <c r="D1516" i="1"/>
  <c r="B1517" i="1"/>
  <c r="C1517" i="1"/>
  <c r="D1517" i="1"/>
  <c r="B1518" i="1"/>
  <c r="C1518" i="1"/>
  <c r="D1518" i="1"/>
  <c r="B1519" i="1"/>
  <c r="C1519" i="1"/>
  <c r="D1519" i="1"/>
  <c r="B1520" i="1"/>
  <c r="C1520" i="1"/>
  <c r="D1520" i="1"/>
  <c r="B1521" i="1"/>
  <c r="C1521" i="1"/>
  <c r="D1521" i="1"/>
  <c r="B1522" i="1"/>
  <c r="C1522" i="1"/>
  <c r="D1522" i="1"/>
  <c r="B1523" i="1"/>
  <c r="C1523" i="1"/>
  <c r="D1523" i="1"/>
  <c r="B1524" i="1"/>
  <c r="C1524" i="1"/>
  <c r="D1524" i="1"/>
  <c r="B1525" i="1"/>
  <c r="C1525" i="1"/>
  <c r="D1525" i="1"/>
  <c r="B1526" i="1"/>
  <c r="C1526" i="1"/>
  <c r="D1526" i="1"/>
  <c r="B1527" i="1"/>
  <c r="C1527" i="1"/>
  <c r="D1527" i="1"/>
  <c r="B1528" i="1"/>
  <c r="C1528" i="1"/>
  <c r="D1528" i="1"/>
  <c r="B1529" i="1"/>
  <c r="C1529" i="1"/>
  <c r="D1529" i="1"/>
  <c r="B1530" i="1"/>
  <c r="C1530" i="1"/>
  <c r="D1530" i="1"/>
  <c r="B1531" i="1"/>
  <c r="C1531" i="1"/>
  <c r="D1531" i="1"/>
  <c r="B1532" i="1"/>
  <c r="C1532" i="1"/>
  <c r="D1532" i="1"/>
  <c r="B1533" i="1"/>
  <c r="C1533" i="1"/>
  <c r="D1533" i="1"/>
  <c r="B1534" i="1"/>
  <c r="C1534" i="1"/>
  <c r="D1534" i="1"/>
  <c r="B1535" i="1"/>
  <c r="C1535" i="1"/>
  <c r="D1535" i="1"/>
  <c r="B1536" i="1"/>
  <c r="C1536" i="1"/>
  <c r="D1536" i="1"/>
  <c r="B1537" i="1"/>
  <c r="C1537" i="1"/>
  <c r="D1537" i="1"/>
  <c r="B1538" i="1"/>
  <c r="C1538" i="1"/>
  <c r="D1538" i="1"/>
  <c r="B1539" i="1"/>
  <c r="C1539" i="1"/>
  <c r="D1539" i="1"/>
  <c r="B1540" i="1"/>
  <c r="C1540" i="1"/>
  <c r="D1540" i="1"/>
  <c r="B1541" i="1"/>
  <c r="C1541" i="1"/>
  <c r="D1541" i="1"/>
  <c r="B1542" i="1"/>
  <c r="C1542" i="1"/>
  <c r="D1542" i="1"/>
  <c r="B1543" i="1"/>
  <c r="C1543" i="1"/>
  <c r="D1543" i="1"/>
  <c r="B1544" i="1"/>
  <c r="C1544" i="1"/>
  <c r="D1544" i="1"/>
  <c r="B1545" i="1"/>
  <c r="C1545" i="1"/>
  <c r="D1545" i="1"/>
  <c r="B1546" i="1"/>
  <c r="C1546" i="1"/>
  <c r="D1546" i="1"/>
  <c r="B1547" i="1"/>
  <c r="C1547" i="1"/>
  <c r="D1547" i="1"/>
  <c r="B1548" i="1"/>
  <c r="C1548" i="1"/>
  <c r="D1548" i="1"/>
  <c r="B1549" i="1"/>
  <c r="C1549" i="1"/>
  <c r="D1549" i="1"/>
  <c r="B1550" i="1"/>
  <c r="C1550" i="1"/>
  <c r="D1550" i="1"/>
  <c r="B1551" i="1"/>
  <c r="C1551" i="1"/>
  <c r="D1551" i="1"/>
  <c r="B1552" i="1"/>
  <c r="C1552" i="1"/>
  <c r="D1552" i="1"/>
  <c r="B1553" i="1"/>
  <c r="C1553" i="1"/>
  <c r="D1553" i="1"/>
  <c r="B1554" i="1"/>
  <c r="C1554" i="1"/>
  <c r="D1554" i="1"/>
  <c r="B1555" i="1"/>
  <c r="C1555" i="1"/>
  <c r="D1555" i="1"/>
  <c r="B1556" i="1"/>
  <c r="C1556" i="1"/>
  <c r="D1556" i="1"/>
  <c r="B1557" i="1"/>
  <c r="C1557" i="1"/>
  <c r="D1557" i="1"/>
  <c r="B1558" i="1"/>
  <c r="C1558" i="1"/>
  <c r="D1558" i="1"/>
  <c r="B1559" i="1"/>
  <c r="C1559" i="1"/>
  <c r="D1559" i="1"/>
  <c r="B1560" i="1"/>
  <c r="C1560" i="1"/>
  <c r="D1560" i="1"/>
  <c r="B1561" i="1"/>
  <c r="C1561" i="1"/>
  <c r="D1561" i="1"/>
  <c r="B1562" i="1"/>
  <c r="C1562" i="1"/>
  <c r="D1562" i="1"/>
  <c r="B1563" i="1"/>
  <c r="C1563" i="1"/>
  <c r="D1563" i="1"/>
  <c r="B1564" i="1"/>
  <c r="C1564" i="1"/>
  <c r="D1564" i="1"/>
  <c r="B1565" i="1"/>
  <c r="C1565" i="1"/>
  <c r="D1565" i="1"/>
  <c r="B1566" i="1"/>
  <c r="C1566" i="1"/>
  <c r="D1566" i="1"/>
  <c r="B1567" i="1"/>
  <c r="C1567" i="1"/>
  <c r="D1567" i="1"/>
  <c r="B1568" i="1"/>
  <c r="C1568" i="1"/>
  <c r="D1568" i="1"/>
  <c r="B1569" i="1"/>
  <c r="C1569" i="1"/>
  <c r="D1569" i="1"/>
  <c r="B1570" i="1"/>
  <c r="C1570" i="1"/>
  <c r="D1570" i="1"/>
  <c r="B1571" i="1"/>
  <c r="C1571" i="1"/>
  <c r="D1571" i="1"/>
  <c r="B1572" i="1"/>
  <c r="C1572" i="1"/>
  <c r="D1572" i="1"/>
  <c r="B1573" i="1"/>
  <c r="C1573" i="1"/>
  <c r="D1573" i="1"/>
  <c r="B1574" i="1"/>
  <c r="C1574" i="1"/>
  <c r="D1574" i="1"/>
  <c r="B1575" i="1"/>
  <c r="C1575" i="1"/>
  <c r="D1575" i="1"/>
  <c r="B1576" i="1"/>
  <c r="C1576" i="1"/>
  <c r="D1576" i="1"/>
  <c r="B1577" i="1"/>
  <c r="C1577" i="1"/>
  <c r="D1577" i="1"/>
  <c r="B1578" i="1"/>
  <c r="C1578" i="1"/>
  <c r="D1578" i="1"/>
  <c r="B1579" i="1"/>
  <c r="C1579" i="1"/>
  <c r="D1579" i="1"/>
  <c r="B1580" i="1"/>
  <c r="C1580" i="1"/>
  <c r="D1580" i="1"/>
  <c r="B1581" i="1"/>
  <c r="C1581" i="1"/>
  <c r="D1581" i="1"/>
  <c r="B1582" i="1"/>
  <c r="C1582" i="1"/>
  <c r="D1582" i="1"/>
  <c r="B1583" i="1"/>
  <c r="C1583" i="1"/>
  <c r="D1583" i="1"/>
  <c r="B1584" i="1"/>
  <c r="C1584" i="1"/>
  <c r="D1584" i="1"/>
  <c r="B1585" i="1"/>
  <c r="C1585" i="1"/>
  <c r="D1585" i="1"/>
  <c r="B1586" i="1"/>
  <c r="C1586" i="1"/>
  <c r="D1586" i="1"/>
  <c r="B1587" i="1"/>
  <c r="C1587" i="1"/>
  <c r="D1587" i="1"/>
  <c r="B1588" i="1"/>
  <c r="C1588" i="1"/>
  <c r="D1588" i="1"/>
  <c r="B1589" i="1"/>
  <c r="C1589" i="1"/>
  <c r="D1589" i="1"/>
  <c r="B1590" i="1"/>
  <c r="C1590" i="1"/>
  <c r="D1590" i="1"/>
  <c r="B1591" i="1"/>
  <c r="C1591" i="1"/>
  <c r="D1591" i="1"/>
  <c r="B1592" i="1"/>
  <c r="C1592" i="1"/>
  <c r="D1592" i="1"/>
  <c r="B1593" i="1"/>
  <c r="C1593" i="1"/>
  <c r="D1593" i="1"/>
  <c r="B1594" i="1"/>
  <c r="C1594" i="1"/>
  <c r="D1594" i="1"/>
  <c r="B1595" i="1"/>
  <c r="C1595" i="1"/>
  <c r="D1595" i="1"/>
  <c r="B1596" i="1"/>
  <c r="C1596" i="1"/>
  <c r="D1596" i="1"/>
  <c r="B1597" i="1"/>
  <c r="C1597" i="1"/>
  <c r="D1597" i="1"/>
  <c r="B1598" i="1"/>
  <c r="C1598" i="1"/>
  <c r="D1598" i="1"/>
  <c r="B1599" i="1"/>
  <c r="C1599" i="1"/>
  <c r="D1599" i="1"/>
  <c r="B1600" i="1"/>
  <c r="C1600" i="1"/>
  <c r="D1600" i="1"/>
  <c r="B1601" i="1"/>
  <c r="C1601" i="1"/>
  <c r="D1601" i="1"/>
  <c r="B1602" i="1"/>
  <c r="C1602" i="1"/>
  <c r="D1602" i="1"/>
  <c r="B1603" i="1"/>
  <c r="C1603" i="1"/>
  <c r="D1603" i="1"/>
  <c r="B1604" i="1"/>
  <c r="C1604" i="1"/>
  <c r="D1604" i="1"/>
  <c r="B1605" i="1"/>
  <c r="C1605" i="1"/>
  <c r="D1605" i="1"/>
  <c r="B1606" i="1"/>
  <c r="C1606" i="1"/>
  <c r="D1606" i="1"/>
  <c r="B1607" i="1"/>
  <c r="C1607" i="1"/>
  <c r="D1607" i="1"/>
  <c r="B1608" i="1"/>
  <c r="C1608" i="1"/>
  <c r="D1608" i="1"/>
  <c r="B1609" i="1"/>
  <c r="C1609" i="1"/>
  <c r="D1609" i="1"/>
  <c r="B1610" i="1"/>
  <c r="C1610" i="1"/>
  <c r="D1610" i="1"/>
  <c r="B1611" i="1"/>
  <c r="C1611" i="1"/>
  <c r="D1611" i="1"/>
  <c r="B1612" i="1"/>
  <c r="C1612" i="1"/>
  <c r="D1612" i="1"/>
  <c r="B1613" i="1"/>
  <c r="C1613" i="1"/>
  <c r="D1613" i="1"/>
  <c r="B1614" i="1"/>
  <c r="C1614" i="1"/>
  <c r="D1614" i="1"/>
  <c r="B1615" i="1"/>
  <c r="C1615" i="1"/>
  <c r="D1615" i="1"/>
  <c r="B1616" i="1"/>
  <c r="C1616" i="1"/>
  <c r="D1616" i="1"/>
  <c r="B1617" i="1"/>
  <c r="C1617" i="1"/>
  <c r="D1617" i="1"/>
  <c r="B1618" i="1"/>
  <c r="C1618" i="1"/>
  <c r="D1618" i="1"/>
  <c r="B1619" i="1"/>
  <c r="C1619" i="1"/>
  <c r="D1619" i="1"/>
  <c r="B1620" i="1"/>
  <c r="C1620" i="1"/>
  <c r="D1620" i="1"/>
  <c r="B1621" i="1"/>
  <c r="C1621" i="1"/>
  <c r="D1621" i="1"/>
  <c r="B1622" i="1"/>
  <c r="C1622" i="1"/>
  <c r="D1622" i="1"/>
  <c r="B1623" i="1"/>
  <c r="C1623" i="1"/>
  <c r="D1623" i="1"/>
  <c r="B1624" i="1"/>
  <c r="C1624" i="1"/>
  <c r="D1624" i="1"/>
  <c r="B1625" i="1"/>
  <c r="C1625" i="1"/>
  <c r="D1625" i="1"/>
  <c r="B1626" i="1"/>
  <c r="C1626" i="1"/>
  <c r="D1626" i="1"/>
  <c r="B1627" i="1"/>
  <c r="C1627" i="1"/>
  <c r="D1627" i="1"/>
  <c r="B1628" i="1"/>
  <c r="C1628" i="1"/>
  <c r="D1628" i="1"/>
  <c r="B1629" i="1"/>
  <c r="C1629" i="1"/>
  <c r="D1629" i="1"/>
  <c r="B1630" i="1"/>
  <c r="C1630" i="1"/>
  <c r="D1630" i="1"/>
  <c r="B1631" i="1"/>
  <c r="C1631" i="1"/>
  <c r="D1631" i="1"/>
  <c r="B1632" i="1"/>
  <c r="C1632" i="1"/>
  <c r="D1632" i="1"/>
  <c r="B1633" i="1"/>
  <c r="C1633" i="1"/>
  <c r="D1633" i="1"/>
  <c r="B1634" i="1"/>
  <c r="C1634" i="1"/>
  <c r="D1634" i="1"/>
  <c r="B1635" i="1"/>
  <c r="C1635" i="1"/>
  <c r="D1635" i="1"/>
  <c r="B1636" i="1"/>
  <c r="C1636" i="1"/>
  <c r="D1636" i="1"/>
  <c r="B1637" i="1"/>
  <c r="C1637" i="1"/>
  <c r="D1637" i="1"/>
  <c r="B1638" i="1"/>
  <c r="C1638" i="1"/>
  <c r="D1638" i="1"/>
  <c r="B1639" i="1"/>
  <c r="C1639" i="1"/>
  <c r="D1639" i="1"/>
  <c r="B1640" i="1"/>
  <c r="C1640" i="1"/>
  <c r="D1640" i="1"/>
  <c r="B1641" i="1"/>
  <c r="C1641" i="1"/>
  <c r="D1641" i="1"/>
  <c r="B1642" i="1"/>
  <c r="C1642" i="1"/>
  <c r="D1642" i="1"/>
  <c r="B1643" i="1"/>
  <c r="C1643" i="1"/>
  <c r="D1643" i="1"/>
  <c r="B1644" i="1"/>
  <c r="C1644" i="1"/>
  <c r="D1644" i="1"/>
  <c r="B1645" i="1"/>
  <c r="C1645" i="1"/>
  <c r="D1645" i="1"/>
  <c r="B1646" i="1"/>
  <c r="C1646" i="1"/>
  <c r="D1646" i="1"/>
  <c r="B1647" i="1"/>
  <c r="C1647" i="1"/>
  <c r="D1647" i="1"/>
  <c r="B1648" i="1"/>
  <c r="C1648" i="1"/>
  <c r="D1648" i="1"/>
  <c r="B1649" i="1"/>
  <c r="C1649" i="1"/>
  <c r="D1649" i="1"/>
  <c r="B1650" i="1"/>
  <c r="C1650" i="1"/>
  <c r="D1650" i="1"/>
  <c r="B1651" i="1"/>
  <c r="C1651" i="1"/>
  <c r="D1651" i="1"/>
  <c r="B1652" i="1"/>
  <c r="C1652" i="1"/>
  <c r="D1652" i="1"/>
  <c r="B1653" i="1"/>
  <c r="C1653" i="1"/>
  <c r="D1653" i="1"/>
  <c r="B1654" i="1"/>
  <c r="C1654" i="1"/>
  <c r="D1654" i="1"/>
  <c r="B1655" i="1"/>
  <c r="C1655" i="1"/>
  <c r="D1655" i="1"/>
  <c r="B1656" i="1"/>
  <c r="C1656" i="1"/>
  <c r="D1656" i="1"/>
  <c r="B1657" i="1"/>
  <c r="C1657" i="1"/>
  <c r="D1657" i="1"/>
  <c r="B1658" i="1"/>
  <c r="C1658" i="1"/>
  <c r="D1658" i="1"/>
  <c r="B1659" i="1"/>
  <c r="C1659" i="1"/>
  <c r="D1659" i="1"/>
  <c r="B1660" i="1"/>
  <c r="C1660" i="1"/>
  <c r="D1660" i="1"/>
  <c r="B1661" i="1"/>
  <c r="C1661" i="1"/>
  <c r="D1661" i="1"/>
  <c r="B1662" i="1"/>
  <c r="C1662" i="1"/>
  <c r="D1662" i="1"/>
  <c r="B1663" i="1"/>
  <c r="C1663" i="1"/>
  <c r="D1663" i="1"/>
  <c r="B1664" i="1"/>
  <c r="C1664" i="1"/>
  <c r="D1664" i="1"/>
  <c r="B1665" i="1"/>
  <c r="C1665" i="1"/>
  <c r="D1665" i="1"/>
  <c r="B1666" i="1"/>
  <c r="C1666" i="1"/>
  <c r="D1666" i="1"/>
  <c r="B1667" i="1"/>
  <c r="C1667" i="1"/>
  <c r="D1667" i="1"/>
  <c r="B1668" i="1"/>
  <c r="C1668" i="1"/>
  <c r="D1668" i="1"/>
  <c r="B1669" i="1"/>
  <c r="C1669" i="1"/>
  <c r="D1669" i="1"/>
  <c r="B1670" i="1"/>
  <c r="C1670" i="1"/>
  <c r="D1670" i="1"/>
  <c r="B1671" i="1"/>
  <c r="C1671" i="1"/>
  <c r="D1671" i="1"/>
  <c r="B1672" i="1"/>
  <c r="C1672" i="1"/>
  <c r="D1672" i="1"/>
  <c r="B1673" i="1"/>
  <c r="C1673" i="1"/>
  <c r="D1673" i="1"/>
  <c r="B1674" i="1"/>
  <c r="C1674" i="1"/>
  <c r="D1674" i="1"/>
  <c r="B1675" i="1"/>
  <c r="C1675" i="1"/>
  <c r="D1675" i="1"/>
  <c r="B1676" i="1"/>
  <c r="C1676" i="1"/>
  <c r="D1676" i="1"/>
  <c r="B1677" i="1"/>
  <c r="C1677" i="1"/>
  <c r="D1677" i="1"/>
  <c r="B1678" i="1"/>
  <c r="C1678" i="1"/>
  <c r="D1678" i="1"/>
  <c r="B1679" i="1"/>
  <c r="C1679" i="1"/>
  <c r="D1679" i="1"/>
  <c r="B1680" i="1"/>
  <c r="C1680" i="1"/>
  <c r="D1680" i="1"/>
  <c r="B1681" i="1"/>
  <c r="C1681" i="1"/>
  <c r="D1681" i="1"/>
  <c r="B1682" i="1"/>
  <c r="C1682" i="1"/>
  <c r="D1682" i="1"/>
  <c r="B1683" i="1"/>
  <c r="C1683" i="1"/>
  <c r="D1683" i="1"/>
  <c r="B1684" i="1"/>
  <c r="C1684" i="1"/>
  <c r="D1684" i="1"/>
  <c r="B1685" i="1"/>
  <c r="C1685" i="1"/>
  <c r="D1685" i="1"/>
  <c r="B1686" i="1"/>
  <c r="C1686" i="1"/>
  <c r="D1686" i="1"/>
  <c r="B1687" i="1"/>
  <c r="C1687" i="1"/>
  <c r="D1687" i="1"/>
  <c r="B1688" i="1"/>
  <c r="C1688" i="1"/>
  <c r="D1688" i="1"/>
  <c r="B1689" i="1"/>
  <c r="C1689" i="1"/>
  <c r="D1689" i="1"/>
  <c r="B1690" i="1"/>
  <c r="C1690" i="1"/>
  <c r="D1690" i="1"/>
  <c r="B1691" i="1"/>
  <c r="C1691" i="1"/>
  <c r="D1691" i="1"/>
  <c r="B1692" i="1"/>
  <c r="C1692" i="1"/>
  <c r="D1692" i="1"/>
  <c r="B1693" i="1"/>
  <c r="C1693" i="1"/>
  <c r="D1693" i="1"/>
  <c r="B1694" i="1"/>
  <c r="C1694" i="1"/>
  <c r="D1694" i="1"/>
  <c r="B1695" i="1"/>
  <c r="C1695" i="1"/>
  <c r="D1695" i="1"/>
  <c r="B1696" i="1"/>
  <c r="C1696" i="1"/>
  <c r="D1696" i="1"/>
  <c r="B1697" i="1"/>
  <c r="C1697" i="1"/>
  <c r="D1697" i="1"/>
  <c r="B1698" i="1"/>
  <c r="C1698" i="1"/>
  <c r="D1698" i="1"/>
  <c r="B1699" i="1"/>
  <c r="C1699" i="1"/>
  <c r="D1699" i="1"/>
  <c r="B1700" i="1"/>
  <c r="C1700" i="1"/>
  <c r="D1700" i="1"/>
  <c r="B1701" i="1"/>
  <c r="C1701" i="1"/>
  <c r="D1701" i="1"/>
  <c r="B1702" i="1"/>
  <c r="C1702" i="1"/>
  <c r="D1702" i="1"/>
  <c r="B1703" i="1"/>
  <c r="C1703" i="1"/>
  <c r="D1703" i="1"/>
  <c r="B1704" i="1"/>
  <c r="C1704" i="1"/>
  <c r="D1704" i="1"/>
  <c r="B1705" i="1"/>
  <c r="C1705" i="1"/>
  <c r="D1705" i="1"/>
  <c r="B1706" i="1"/>
  <c r="C1706" i="1"/>
  <c r="D1706" i="1"/>
  <c r="B1707" i="1"/>
  <c r="C1707" i="1"/>
  <c r="D1707" i="1"/>
  <c r="B1708" i="1"/>
  <c r="C1708" i="1"/>
  <c r="D1708" i="1"/>
  <c r="B1709" i="1"/>
  <c r="C1709" i="1"/>
  <c r="D1709" i="1"/>
  <c r="B1710" i="1"/>
  <c r="C1710" i="1"/>
  <c r="D1710" i="1"/>
  <c r="B1711" i="1"/>
  <c r="C1711" i="1"/>
  <c r="D1711" i="1"/>
  <c r="B1712" i="1"/>
  <c r="C1712" i="1"/>
  <c r="D1712" i="1"/>
  <c r="B1713" i="1"/>
  <c r="C1713" i="1"/>
  <c r="D1713" i="1"/>
  <c r="B1714" i="1"/>
  <c r="C1714" i="1"/>
  <c r="D1714" i="1"/>
  <c r="B1715" i="1"/>
  <c r="C1715" i="1"/>
  <c r="D1715" i="1"/>
  <c r="B1716" i="1"/>
  <c r="C1716" i="1"/>
  <c r="D1716" i="1"/>
  <c r="B1717" i="1"/>
  <c r="C1717" i="1"/>
  <c r="D1717" i="1"/>
  <c r="B1718" i="1"/>
  <c r="C1718" i="1"/>
  <c r="D1718" i="1"/>
  <c r="B1719" i="1"/>
  <c r="C1719" i="1"/>
  <c r="D1719" i="1"/>
  <c r="B1720" i="1"/>
  <c r="C1720" i="1"/>
  <c r="D1720" i="1"/>
  <c r="B1721" i="1"/>
  <c r="C1721" i="1"/>
  <c r="D1721" i="1"/>
  <c r="B1722" i="1"/>
  <c r="C1722" i="1"/>
  <c r="D1722" i="1"/>
  <c r="B1723" i="1"/>
  <c r="C1723" i="1"/>
  <c r="D1723" i="1"/>
  <c r="B1724" i="1"/>
  <c r="C1724" i="1"/>
  <c r="D1724" i="1"/>
  <c r="B1725" i="1"/>
  <c r="C1725" i="1"/>
  <c r="D1725" i="1"/>
  <c r="B1726" i="1"/>
  <c r="C1726" i="1"/>
  <c r="D1726" i="1"/>
  <c r="B1727" i="1"/>
  <c r="C1727" i="1"/>
  <c r="D1727" i="1"/>
  <c r="B1728" i="1"/>
  <c r="C1728" i="1"/>
  <c r="D1728" i="1"/>
  <c r="B1729" i="1"/>
  <c r="C1729" i="1"/>
  <c r="D1729" i="1"/>
  <c r="B1730" i="1"/>
  <c r="C1730" i="1"/>
  <c r="D1730" i="1"/>
  <c r="B1731" i="1"/>
  <c r="C1731" i="1"/>
  <c r="D1731" i="1"/>
  <c r="B1732" i="1"/>
  <c r="C1732" i="1"/>
  <c r="D1732" i="1"/>
  <c r="B1733" i="1"/>
  <c r="C1733" i="1"/>
  <c r="D1733" i="1"/>
  <c r="B1734" i="1"/>
  <c r="C1734" i="1"/>
  <c r="D1734" i="1"/>
  <c r="B1735" i="1"/>
  <c r="C1735" i="1"/>
  <c r="D1735" i="1"/>
  <c r="B1736" i="1"/>
  <c r="C1736" i="1"/>
  <c r="D1736" i="1"/>
  <c r="B1737" i="1"/>
  <c r="C1737" i="1"/>
  <c r="D1737" i="1"/>
  <c r="B1738" i="1"/>
  <c r="C1738" i="1"/>
  <c r="D1738" i="1"/>
  <c r="B1739" i="1"/>
  <c r="C1739" i="1"/>
  <c r="D1739" i="1"/>
  <c r="B1740" i="1"/>
  <c r="C1740" i="1"/>
  <c r="D1740" i="1"/>
  <c r="B1741" i="1"/>
  <c r="C1741" i="1"/>
  <c r="D1741" i="1"/>
  <c r="B1742" i="1"/>
  <c r="C1742" i="1"/>
  <c r="D1742" i="1"/>
  <c r="B1743" i="1"/>
  <c r="C1743" i="1"/>
  <c r="D1743" i="1"/>
  <c r="B1744" i="1"/>
  <c r="C1744" i="1"/>
  <c r="D1744" i="1"/>
  <c r="B1745" i="1"/>
  <c r="C1745" i="1"/>
  <c r="D1745" i="1"/>
  <c r="B1746" i="1"/>
  <c r="C1746" i="1"/>
  <c r="D1746" i="1"/>
  <c r="B1747" i="1"/>
  <c r="C1747" i="1"/>
  <c r="D1747" i="1"/>
  <c r="B1748" i="1"/>
  <c r="C1748" i="1"/>
  <c r="D1748" i="1"/>
  <c r="B1749" i="1"/>
  <c r="C1749" i="1"/>
  <c r="D1749" i="1"/>
  <c r="B1750" i="1"/>
  <c r="C1750" i="1"/>
  <c r="D1750" i="1"/>
  <c r="B1751" i="1"/>
  <c r="C1751" i="1"/>
  <c r="D1751" i="1"/>
  <c r="B1752" i="1"/>
  <c r="C1752" i="1"/>
  <c r="D1752" i="1"/>
  <c r="B1753" i="1"/>
  <c r="C1753" i="1"/>
  <c r="D1753" i="1"/>
  <c r="B1754" i="1"/>
  <c r="C1754" i="1"/>
  <c r="D1754" i="1"/>
  <c r="B1755" i="1"/>
  <c r="C1755" i="1"/>
  <c r="D1755" i="1"/>
  <c r="B1756" i="1"/>
  <c r="C1756" i="1"/>
  <c r="D1756" i="1"/>
  <c r="B1757" i="1"/>
  <c r="C1757" i="1"/>
  <c r="D1757" i="1"/>
  <c r="B1758" i="1"/>
  <c r="C1758" i="1"/>
  <c r="D1758" i="1"/>
  <c r="B1759" i="1"/>
  <c r="C1759" i="1"/>
  <c r="D1759" i="1"/>
  <c r="B1760" i="1"/>
  <c r="C1760" i="1"/>
  <c r="D1760" i="1"/>
  <c r="B1761" i="1"/>
  <c r="C1761" i="1"/>
  <c r="D1761" i="1"/>
  <c r="B1762" i="1"/>
  <c r="C1762" i="1"/>
  <c r="D1762" i="1"/>
  <c r="B1763" i="1"/>
  <c r="C1763" i="1"/>
  <c r="D1763" i="1"/>
  <c r="B1764" i="1"/>
  <c r="C1764" i="1"/>
  <c r="D1764" i="1"/>
  <c r="B1765" i="1"/>
  <c r="C1765" i="1"/>
  <c r="D1765" i="1"/>
  <c r="B1766" i="1"/>
  <c r="C1766" i="1"/>
  <c r="D1766" i="1"/>
  <c r="B1767" i="1"/>
  <c r="C1767" i="1"/>
  <c r="D1767" i="1"/>
  <c r="B1768" i="1"/>
  <c r="C1768" i="1"/>
  <c r="D1768" i="1"/>
  <c r="B1769" i="1"/>
  <c r="C1769" i="1"/>
  <c r="D1769" i="1"/>
  <c r="B1770" i="1"/>
  <c r="C1770" i="1"/>
  <c r="D1770" i="1"/>
  <c r="B1771" i="1"/>
  <c r="C1771" i="1"/>
  <c r="D1771" i="1"/>
  <c r="B1772" i="1"/>
  <c r="C1772" i="1"/>
  <c r="D1772" i="1"/>
  <c r="B1773" i="1"/>
  <c r="C1773" i="1"/>
  <c r="D1773" i="1"/>
  <c r="B1774" i="1"/>
  <c r="C1774" i="1"/>
  <c r="D1774" i="1"/>
  <c r="B1775" i="1"/>
  <c r="C1775" i="1"/>
  <c r="D1775" i="1"/>
  <c r="B1776" i="1"/>
  <c r="C1776" i="1"/>
  <c r="D1776" i="1"/>
  <c r="B1777" i="1"/>
  <c r="C1777" i="1"/>
  <c r="D1777" i="1"/>
  <c r="B1778" i="1"/>
  <c r="C1778" i="1"/>
  <c r="D1778" i="1"/>
  <c r="B1779" i="1"/>
  <c r="C1779" i="1"/>
  <c r="D1779" i="1"/>
  <c r="B1780" i="1"/>
  <c r="C1780" i="1"/>
  <c r="D1780" i="1"/>
  <c r="B1781" i="1"/>
  <c r="C1781" i="1"/>
  <c r="D1781" i="1"/>
  <c r="B1782" i="1"/>
  <c r="C1782" i="1"/>
  <c r="D1782" i="1"/>
  <c r="B1783" i="1"/>
  <c r="C1783" i="1"/>
  <c r="D1783" i="1"/>
  <c r="B1784" i="1"/>
  <c r="C1784" i="1"/>
  <c r="D1784" i="1"/>
  <c r="B1785" i="1"/>
  <c r="C1785" i="1"/>
  <c r="D1785" i="1"/>
  <c r="B1786" i="1"/>
  <c r="C1786" i="1"/>
  <c r="D1786" i="1"/>
  <c r="B1787" i="1"/>
  <c r="C1787" i="1"/>
  <c r="D1787" i="1"/>
  <c r="B1788" i="1"/>
  <c r="C1788" i="1"/>
  <c r="D1788" i="1"/>
  <c r="B1789" i="1"/>
  <c r="C1789" i="1"/>
  <c r="D1789" i="1"/>
  <c r="B1790" i="1"/>
  <c r="C1790" i="1"/>
  <c r="D1790" i="1"/>
  <c r="B1791" i="1"/>
  <c r="C1791" i="1"/>
  <c r="D1791" i="1"/>
  <c r="B1792" i="1"/>
  <c r="C1792" i="1"/>
  <c r="D1792" i="1"/>
  <c r="B1793" i="1"/>
  <c r="C1793" i="1"/>
  <c r="D1793" i="1"/>
  <c r="B1794" i="1"/>
  <c r="C1794" i="1"/>
  <c r="D1794" i="1"/>
  <c r="B1795" i="1"/>
  <c r="C1795" i="1"/>
  <c r="D1795" i="1"/>
  <c r="B1796" i="1"/>
  <c r="C1796" i="1"/>
  <c r="D1796" i="1"/>
  <c r="B1797" i="1"/>
  <c r="C1797" i="1"/>
  <c r="D1797" i="1"/>
  <c r="B1798" i="1"/>
  <c r="C1798" i="1"/>
  <c r="D1798" i="1"/>
  <c r="B1799" i="1"/>
  <c r="C1799" i="1"/>
  <c r="D1799" i="1"/>
  <c r="B1800" i="1"/>
  <c r="C1800" i="1"/>
  <c r="D1800" i="1"/>
  <c r="B1801" i="1"/>
  <c r="C1801" i="1"/>
  <c r="D1801" i="1"/>
  <c r="B1802" i="1"/>
  <c r="C1802" i="1"/>
  <c r="D1802" i="1"/>
  <c r="B1803" i="1"/>
  <c r="C1803" i="1"/>
  <c r="D1803" i="1"/>
  <c r="B1804" i="1"/>
  <c r="C1804" i="1"/>
  <c r="D1804" i="1"/>
  <c r="B1805" i="1"/>
  <c r="C1805" i="1"/>
  <c r="D1805" i="1"/>
  <c r="B1806" i="1"/>
  <c r="C1806" i="1"/>
  <c r="D1806" i="1"/>
  <c r="B1807" i="1"/>
  <c r="C1807" i="1"/>
  <c r="D1807" i="1"/>
  <c r="B1808" i="1"/>
  <c r="C1808" i="1"/>
  <c r="D1808" i="1"/>
  <c r="B1809" i="1"/>
  <c r="C1809" i="1"/>
  <c r="D1809" i="1"/>
  <c r="B1810" i="1"/>
  <c r="C1810" i="1"/>
  <c r="D1810" i="1"/>
  <c r="B1811" i="1"/>
  <c r="C1811" i="1"/>
  <c r="D1811" i="1"/>
  <c r="B1812" i="1"/>
  <c r="C1812" i="1"/>
  <c r="D1812" i="1"/>
  <c r="B1813" i="1"/>
  <c r="C1813" i="1"/>
  <c r="D1813" i="1"/>
  <c r="B1814" i="1"/>
  <c r="C1814" i="1"/>
  <c r="D1814" i="1"/>
  <c r="B1815" i="1"/>
  <c r="C1815" i="1"/>
  <c r="D1815" i="1"/>
  <c r="B1816" i="1"/>
  <c r="C1816" i="1"/>
  <c r="D1816" i="1"/>
  <c r="B1817" i="1"/>
  <c r="C1817" i="1"/>
  <c r="D1817" i="1"/>
  <c r="B1818" i="1"/>
  <c r="C1818" i="1"/>
  <c r="D1818" i="1"/>
  <c r="B1819" i="1"/>
  <c r="C1819" i="1"/>
  <c r="D1819" i="1"/>
  <c r="B1820" i="1"/>
  <c r="C1820" i="1"/>
  <c r="D1820" i="1"/>
  <c r="B1821" i="1"/>
  <c r="C1821" i="1"/>
  <c r="D1821" i="1"/>
  <c r="B1822" i="1"/>
  <c r="C1822" i="1"/>
  <c r="D1822" i="1"/>
  <c r="B1823" i="1"/>
  <c r="C1823" i="1"/>
  <c r="D1823" i="1"/>
  <c r="B1824" i="1"/>
  <c r="C1824" i="1"/>
  <c r="D1824" i="1"/>
  <c r="B1825" i="1"/>
  <c r="C1825" i="1"/>
  <c r="D1825" i="1"/>
  <c r="B1826" i="1"/>
  <c r="C1826" i="1"/>
  <c r="D1826" i="1"/>
  <c r="B1827" i="1"/>
  <c r="C1827" i="1"/>
  <c r="D1827" i="1"/>
  <c r="B1828" i="1"/>
  <c r="C1828" i="1"/>
  <c r="D1828" i="1"/>
  <c r="B1829" i="1"/>
  <c r="C1829" i="1"/>
  <c r="D1829" i="1"/>
  <c r="B1830" i="1"/>
  <c r="C1830" i="1"/>
  <c r="D1830" i="1"/>
  <c r="B1831" i="1"/>
  <c r="C1831" i="1"/>
  <c r="D1831" i="1"/>
  <c r="B1832" i="1"/>
  <c r="C1832" i="1"/>
  <c r="D1832" i="1"/>
  <c r="B1833" i="1"/>
  <c r="C1833" i="1"/>
  <c r="D1833" i="1"/>
  <c r="B1834" i="1"/>
  <c r="C1834" i="1"/>
  <c r="D1834" i="1"/>
  <c r="B1835" i="1"/>
  <c r="C1835" i="1"/>
  <c r="D1835" i="1"/>
  <c r="B1836" i="1"/>
  <c r="C1836" i="1"/>
  <c r="D1836" i="1"/>
  <c r="B1837" i="1"/>
  <c r="C1837" i="1"/>
  <c r="D1837" i="1"/>
  <c r="B1838" i="1"/>
  <c r="C1838" i="1"/>
  <c r="D1838" i="1"/>
  <c r="B1839" i="1"/>
  <c r="C1839" i="1"/>
  <c r="D1839" i="1"/>
  <c r="B1840" i="1"/>
  <c r="C1840" i="1"/>
  <c r="D1840" i="1"/>
  <c r="B1841" i="1"/>
  <c r="C1841" i="1"/>
  <c r="D1841" i="1"/>
  <c r="B1842" i="1"/>
  <c r="C1842" i="1"/>
  <c r="D1842" i="1"/>
  <c r="B1843" i="1"/>
  <c r="C1843" i="1"/>
  <c r="D1843" i="1"/>
  <c r="B1844" i="1"/>
  <c r="C1844" i="1"/>
  <c r="D1844" i="1"/>
  <c r="B1845" i="1"/>
  <c r="C1845" i="1"/>
  <c r="D1845" i="1"/>
  <c r="B1846" i="1"/>
  <c r="C1846" i="1"/>
  <c r="D1846" i="1"/>
  <c r="B1847" i="1"/>
  <c r="C1847" i="1"/>
  <c r="D1847" i="1"/>
  <c r="B1848" i="1"/>
  <c r="C1848" i="1"/>
  <c r="D1848" i="1"/>
  <c r="B1849" i="1"/>
  <c r="C1849" i="1"/>
  <c r="D1849" i="1"/>
  <c r="B1850" i="1"/>
  <c r="C1850" i="1"/>
  <c r="D1850" i="1"/>
  <c r="B1851" i="1"/>
  <c r="C1851" i="1"/>
  <c r="D1851" i="1"/>
  <c r="B1852" i="1"/>
  <c r="C1852" i="1"/>
  <c r="D1852" i="1"/>
  <c r="B1853" i="1"/>
  <c r="C1853" i="1"/>
  <c r="D1853" i="1"/>
  <c r="B1854" i="1"/>
  <c r="C1854" i="1"/>
  <c r="D1854" i="1"/>
  <c r="B1855" i="1"/>
  <c r="C1855" i="1"/>
  <c r="D1855" i="1"/>
  <c r="B1856" i="1"/>
  <c r="C1856" i="1"/>
  <c r="D1856" i="1"/>
  <c r="B1857" i="1"/>
  <c r="C1857" i="1"/>
  <c r="D1857" i="1"/>
  <c r="B1858" i="1"/>
  <c r="C1858" i="1"/>
  <c r="D1858" i="1"/>
  <c r="B1859" i="1"/>
  <c r="C1859" i="1"/>
  <c r="D1859" i="1"/>
  <c r="B1860" i="1"/>
  <c r="C1860" i="1"/>
  <c r="D1860" i="1"/>
  <c r="B1861" i="1"/>
  <c r="C1861" i="1"/>
  <c r="D1861" i="1"/>
  <c r="B1862" i="1"/>
  <c r="C1862" i="1"/>
  <c r="D1862" i="1"/>
  <c r="B1863" i="1"/>
  <c r="C1863" i="1"/>
  <c r="D1863" i="1"/>
  <c r="B1864" i="1"/>
  <c r="C1864" i="1"/>
  <c r="D1864" i="1"/>
  <c r="B1865" i="1"/>
  <c r="C1865" i="1"/>
  <c r="D1865" i="1"/>
  <c r="B1866" i="1"/>
  <c r="C1866" i="1"/>
  <c r="D1866" i="1"/>
  <c r="B1867" i="1"/>
  <c r="C1867" i="1"/>
  <c r="D1867" i="1"/>
  <c r="B1868" i="1"/>
  <c r="C1868" i="1"/>
  <c r="D1868" i="1"/>
  <c r="B1869" i="1"/>
  <c r="C1869" i="1"/>
  <c r="D1869" i="1"/>
  <c r="B1870" i="1"/>
  <c r="C1870" i="1"/>
  <c r="D1870" i="1"/>
  <c r="B1871" i="1"/>
  <c r="C1871" i="1"/>
  <c r="D1871" i="1"/>
  <c r="B1872" i="1"/>
  <c r="C1872" i="1"/>
  <c r="D1872" i="1"/>
  <c r="B1873" i="1"/>
  <c r="C1873" i="1"/>
  <c r="D1873" i="1"/>
  <c r="B1874" i="1"/>
  <c r="C1874" i="1"/>
  <c r="D1874" i="1"/>
  <c r="B1875" i="1"/>
  <c r="C1875" i="1"/>
  <c r="D1875" i="1"/>
  <c r="B1876" i="1"/>
  <c r="C1876" i="1"/>
  <c r="D1876" i="1"/>
  <c r="B1877" i="1"/>
  <c r="C1877" i="1"/>
  <c r="D1877" i="1"/>
  <c r="B1878" i="1"/>
  <c r="C1878" i="1"/>
  <c r="D1878" i="1"/>
  <c r="B1879" i="1"/>
  <c r="C1879" i="1"/>
  <c r="D1879" i="1"/>
  <c r="B1880" i="1"/>
  <c r="C1880" i="1"/>
  <c r="D1880" i="1"/>
  <c r="B1881" i="1"/>
  <c r="C1881" i="1"/>
  <c r="D1881" i="1"/>
  <c r="B1882" i="1"/>
  <c r="C1882" i="1"/>
  <c r="D1882" i="1"/>
  <c r="B1883" i="1"/>
  <c r="C1883" i="1"/>
  <c r="D1883" i="1"/>
  <c r="B1884" i="1"/>
  <c r="C1884" i="1"/>
  <c r="D1884" i="1"/>
  <c r="B1885" i="1"/>
  <c r="C1885" i="1"/>
  <c r="D1885" i="1"/>
  <c r="B1886" i="1"/>
  <c r="C1886" i="1"/>
  <c r="D1886" i="1"/>
  <c r="B1887" i="1"/>
  <c r="C1887" i="1"/>
  <c r="D1887" i="1"/>
  <c r="B1888" i="1"/>
  <c r="C1888" i="1"/>
  <c r="D1888" i="1"/>
  <c r="B1889" i="1"/>
  <c r="C1889" i="1"/>
  <c r="D1889" i="1"/>
  <c r="B1890" i="1"/>
  <c r="C1890" i="1"/>
  <c r="D1890" i="1"/>
  <c r="B1891" i="1"/>
  <c r="C1891" i="1"/>
  <c r="D1891" i="1"/>
  <c r="B1892" i="1"/>
  <c r="C1892" i="1"/>
  <c r="D1892" i="1"/>
  <c r="B1893" i="1"/>
  <c r="C1893" i="1"/>
  <c r="D1893" i="1"/>
  <c r="B1894" i="1"/>
  <c r="C1894" i="1"/>
  <c r="D1894" i="1"/>
  <c r="B1895" i="1"/>
  <c r="C1895" i="1"/>
  <c r="D1895" i="1"/>
  <c r="B1896" i="1"/>
  <c r="C1896" i="1"/>
  <c r="D1896" i="1"/>
  <c r="B1897" i="1"/>
  <c r="C1897" i="1"/>
  <c r="D1897" i="1"/>
  <c r="B1898" i="1"/>
  <c r="C1898" i="1"/>
  <c r="D1898" i="1"/>
  <c r="B1899" i="1"/>
  <c r="C1899" i="1"/>
  <c r="D1899" i="1"/>
  <c r="B1900" i="1"/>
  <c r="C1900" i="1"/>
  <c r="D1900" i="1"/>
  <c r="B1901" i="1"/>
  <c r="C1901" i="1"/>
  <c r="D1901" i="1"/>
  <c r="B1902" i="1"/>
  <c r="C1902" i="1"/>
  <c r="D1902" i="1"/>
  <c r="B1903" i="1"/>
  <c r="C1903" i="1"/>
  <c r="D1903" i="1"/>
  <c r="B1904" i="1"/>
  <c r="C1904" i="1"/>
  <c r="D1904" i="1"/>
  <c r="B1905" i="1"/>
  <c r="C1905" i="1"/>
  <c r="D1905" i="1"/>
  <c r="B1906" i="1"/>
  <c r="C1906" i="1"/>
  <c r="D1906" i="1"/>
  <c r="B1907" i="1"/>
  <c r="C1907" i="1"/>
  <c r="D1907" i="1"/>
  <c r="B1908" i="1"/>
  <c r="C1908" i="1"/>
  <c r="D1908" i="1"/>
  <c r="B1909" i="1"/>
  <c r="C1909" i="1"/>
  <c r="D1909" i="1"/>
  <c r="B1910" i="1"/>
  <c r="C1910" i="1"/>
  <c r="D1910" i="1"/>
  <c r="B1911" i="1"/>
  <c r="C1911" i="1"/>
  <c r="D1911" i="1"/>
  <c r="B1912" i="1"/>
  <c r="C1912" i="1"/>
  <c r="D1912" i="1"/>
  <c r="B1913" i="1"/>
  <c r="C1913" i="1"/>
  <c r="D1913" i="1"/>
  <c r="B1914" i="1"/>
  <c r="C1914" i="1"/>
  <c r="D1914" i="1"/>
  <c r="B1915" i="1"/>
  <c r="C1915" i="1"/>
  <c r="D1915" i="1"/>
  <c r="B1916" i="1"/>
  <c r="C1916" i="1"/>
  <c r="D1916" i="1"/>
  <c r="B1917" i="1"/>
  <c r="C1917" i="1"/>
  <c r="D1917" i="1"/>
  <c r="B1918" i="1"/>
  <c r="C1918" i="1"/>
  <c r="D1918" i="1"/>
  <c r="B1919" i="1"/>
  <c r="C1919" i="1"/>
  <c r="D1919" i="1"/>
  <c r="B1920" i="1"/>
  <c r="C1920" i="1"/>
  <c r="D1920" i="1"/>
  <c r="B1921" i="1"/>
  <c r="C1921" i="1"/>
  <c r="D1921" i="1"/>
  <c r="B1922" i="1"/>
  <c r="C1922" i="1"/>
  <c r="D1922" i="1"/>
  <c r="B1923" i="1"/>
  <c r="C1923" i="1"/>
  <c r="D1923" i="1"/>
  <c r="B1924" i="1"/>
  <c r="C1924" i="1"/>
  <c r="D1924" i="1"/>
  <c r="B1925" i="1"/>
  <c r="C1925" i="1"/>
  <c r="D1925" i="1"/>
  <c r="B1926" i="1"/>
  <c r="C1926" i="1"/>
  <c r="D1926" i="1"/>
  <c r="B1927" i="1"/>
  <c r="C1927" i="1"/>
  <c r="D1927" i="1"/>
  <c r="B1928" i="1"/>
  <c r="C1928" i="1"/>
  <c r="D1928" i="1"/>
  <c r="B1929" i="1"/>
  <c r="C1929" i="1"/>
  <c r="D1929" i="1"/>
  <c r="B1930" i="1"/>
  <c r="C1930" i="1"/>
  <c r="D1930" i="1"/>
  <c r="B1931" i="1"/>
  <c r="C1931" i="1"/>
  <c r="D1931" i="1"/>
  <c r="B1932" i="1"/>
  <c r="C1932" i="1"/>
  <c r="D1932" i="1"/>
  <c r="B1933" i="1"/>
  <c r="C1933" i="1"/>
  <c r="D1933" i="1"/>
  <c r="B1934" i="1"/>
  <c r="C1934" i="1"/>
  <c r="D1934" i="1"/>
  <c r="B1935" i="1"/>
  <c r="C1935" i="1"/>
  <c r="D1935" i="1"/>
  <c r="B1936" i="1"/>
  <c r="C1936" i="1"/>
  <c r="D1936" i="1"/>
  <c r="B1937" i="1"/>
  <c r="C1937" i="1"/>
  <c r="D1937" i="1"/>
  <c r="B1938" i="1"/>
  <c r="C1938" i="1"/>
  <c r="D1938" i="1"/>
  <c r="B1939" i="1"/>
  <c r="C1939" i="1"/>
  <c r="D1939" i="1"/>
  <c r="B1940" i="1"/>
  <c r="C1940" i="1"/>
  <c r="D1940" i="1"/>
  <c r="B1941" i="1"/>
  <c r="C1941" i="1"/>
  <c r="D1941" i="1"/>
  <c r="B1942" i="1"/>
  <c r="C1942" i="1"/>
  <c r="D1942" i="1"/>
  <c r="B1943" i="1"/>
  <c r="C1943" i="1"/>
  <c r="D1943" i="1"/>
  <c r="B1944" i="1"/>
  <c r="C1944" i="1"/>
  <c r="D1944" i="1"/>
  <c r="B1945" i="1"/>
  <c r="C1945" i="1"/>
  <c r="D1945" i="1"/>
  <c r="B1946" i="1"/>
  <c r="C1946" i="1"/>
  <c r="D1946" i="1"/>
  <c r="B1947" i="1"/>
  <c r="C1947" i="1"/>
  <c r="D1947" i="1"/>
  <c r="B1948" i="1"/>
  <c r="C1948" i="1"/>
  <c r="D1948" i="1"/>
  <c r="B1949" i="1"/>
  <c r="C1949" i="1"/>
  <c r="D1949" i="1"/>
  <c r="B1950" i="1"/>
  <c r="C1950" i="1"/>
  <c r="D1950" i="1"/>
  <c r="B1951" i="1"/>
  <c r="C1951" i="1"/>
  <c r="D1951" i="1"/>
  <c r="B1952" i="1"/>
  <c r="C1952" i="1"/>
  <c r="D1952" i="1"/>
  <c r="B1953" i="1"/>
  <c r="C1953" i="1"/>
  <c r="D1953" i="1"/>
  <c r="B1954" i="1"/>
  <c r="C1954" i="1"/>
  <c r="D1954" i="1"/>
  <c r="B1955" i="1"/>
  <c r="C1955" i="1"/>
  <c r="D1955" i="1"/>
  <c r="B1956" i="1"/>
  <c r="C1956" i="1"/>
  <c r="D1956" i="1"/>
  <c r="B1957" i="1"/>
  <c r="C1957" i="1"/>
  <c r="D1957" i="1"/>
  <c r="B1958" i="1"/>
  <c r="C1958" i="1"/>
  <c r="D1958" i="1"/>
  <c r="B1959" i="1"/>
  <c r="C1959" i="1"/>
  <c r="D1959" i="1"/>
  <c r="B1960" i="1"/>
  <c r="C1960" i="1"/>
  <c r="D1960" i="1"/>
  <c r="B1961" i="1"/>
  <c r="C1961" i="1"/>
  <c r="D1961" i="1"/>
  <c r="B1962" i="1"/>
  <c r="C1962" i="1"/>
  <c r="D1962" i="1"/>
  <c r="B1963" i="1"/>
  <c r="C1963" i="1"/>
  <c r="D1963" i="1"/>
  <c r="B1964" i="1"/>
  <c r="C1964" i="1"/>
  <c r="D1964" i="1"/>
  <c r="B1965" i="1"/>
  <c r="C1965" i="1"/>
  <c r="D1965" i="1"/>
  <c r="B1966" i="1"/>
  <c r="C1966" i="1"/>
  <c r="D1966" i="1"/>
  <c r="B1967" i="1"/>
  <c r="C1967" i="1"/>
  <c r="D1967" i="1"/>
  <c r="B1968" i="1"/>
  <c r="C1968" i="1"/>
  <c r="D1968" i="1"/>
  <c r="B1969" i="1"/>
  <c r="C1969" i="1"/>
  <c r="D1969" i="1"/>
  <c r="B1970" i="1"/>
  <c r="C1970" i="1"/>
  <c r="D1970" i="1"/>
  <c r="B1971" i="1"/>
  <c r="C1971" i="1"/>
  <c r="D1971" i="1"/>
  <c r="B1972" i="1"/>
  <c r="C1972" i="1"/>
  <c r="D1972" i="1"/>
  <c r="B1973" i="1"/>
  <c r="C1973" i="1"/>
  <c r="D1973" i="1"/>
  <c r="B1974" i="1"/>
  <c r="C1974" i="1"/>
  <c r="D1974" i="1"/>
  <c r="B1975" i="1"/>
  <c r="C1975" i="1"/>
  <c r="D1975" i="1"/>
  <c r="B1976" i="1"/>
  <c r="C1976" i="1"/>
  <c r="D1976" i="1"/>
  <c r="B1977" i="1"/>
  <c r="C1977" i="1"/>
  <c r="D1977" i="1"/>
  <c r="B1978" i="1"/>
  <c r="C1978" i="1"/>
  <c r="D1978" i="1"/>
  <c r="B1979" i="1"/>
  <c r="C1979" i="1"/>
  <c r="D1979" i="1"/>
  <c r="B1980" i="1"/>
  <c r="C1980" i="1"/>
  <c r="D1980" i="1"/>
  <c r="B1981" i="1"/>
  <c r="C1981" i="1"/>
  <c r="D1981" i="1"/>
  <c r="B1982" i="1"/>
  <c r="C1982" i="1"/>
  <c r="D1982" i="1"/>
  <c r="B1983" i="1"/>
  <c r="C1983" i="1"/>
  <c r="D1983" i="1"/>
  <c r="B1984" i="1"/>
  <c r="C1984" i="1"/>
  <c r="D1984" i="1"/>
  <c r="B1985" i="1"/>
  <c r="C1985" i="1"/>
  <c r="D1985" i="1"/>
  <c r="B1986" i="1"/>
  <c r="C1986" i="1"/>
  <c r="D1986" i="1"/>
  <c r="B1987" i="1"/>
  <c r="C1987" i="1"/>
  <c r="D1987" i="1"/>
  <c r="B1988" i="1"/>
  <c r="C1988" i="1"/>
  <c r="D1988" i="1"/>
  <c r="B1989" i="1"/>
  <c r="C1989" i="1"/>
  <c r="D1989" i="1"/>
  <c r="B1990" i="1"/>
  <c r="C1990" i="1"/>
  <c r="D1990" i="1"/>
  <c r="B1991" i="1"/>
  <c r="C1991" i="1"/>
  <c r="D1991" i="1"/>
  <c r="B1992" i="1"/>
  <c r="C1992" i="1"/>
  <c r="D1992" i="1"/>
  <c r="B1993" i="1"/>
  <c r="C1993" i="1"/>
  <c r="D1993" i="1"/>
  <c r="B1994" i="1"/>
  <c r="C1994" i="1"/>
  <c r="D1994" i="1"/>
  <c r="B1995" i="1"/>
  <c r="C1995" i="1"/>
  <c r="D1995" i="1"/>
  <c r="B1996" i="1"/>
  <c r="C1996" i="1"/>
  <c r="D1996" i="1"/>
  <c r="B1997" i="1"/>
  <c r="C1997" i="1"/>
  <c r="D1997" i="1"/>
  <c r="B1998" i="1"/>
  <c r="C1998" i="1"/>
  <c r="D1998" i="1"/>
  <c r="B1999" i="1"/>
  <c r="C1999" i="1"/>
  <c r="D1999" i="1"/>
  <c r="B2000" i="1"/>
  <c r="C2000" i="1"/>
  <c r="D2000" i="1"/>
  <c r="B2001" i="1"/>
  <c r="C2001" i="1"/>
  <c r="D2001" i="1"/>
  <c r="B2002" i="1"/>
  <c r="C2002" i="1"/>
  <c r="D2002" i="1"/>
  <c r="B2003" i="1"/>
  <c r="C2003" i="1"/>
  <c r="D2003" i="1"/>
  <c r="B2004" i="1"/>
  <c r="C2004" i="1"/>
  <c r="D2004" i="1"/>
  <c r="B2005" i="1"/>
  <c r="C2005" i="1"/>
  <c r="D2005" i="1"/>
  <c r="B2006" i="1"/>
  <c r="C2006" i="1"/>
  <c r="D2006" i="1"/>
  <c r="B2007" i="1"/>
  <c r="C2007" i="1"/>
  <c r="D2007" i="1"/>
  <c r="B2008" i="1"/>
  <c r="C2008" i="1"/>
  <c r="D2008" i="1"/>
  <c r="B2009" i="1"/>
  <c r="C2009" i="1"/>
  <c r="D2009" i="1"/>
  <c r="B2010" i="1"/>
  <c r="C2010" i="1"/>
  <c r="D2010" i="1"/>
  <c r="B2011" i="1"/>
  <c r="C2011" i="1"/>
  <c r="D2011" i="1"/>
  <c r="B2012" i="1"/>
  <c r="C2012" i="1"/>
  <c r="D2012" i="1"/>
  <c r="B2013" i="1"/>
  <c r="C2013" i="1"/>
  <c r="D2013" i="1"/>
  <c r="B2014" i="1"/>
  <c r="C2014" i="1"/>
  <c r="D2014" i="1"/>
  <c r="B2015" i="1"/>
  <c r="C2015" i="1"/>
  <c r="D2015" i="1"/>
  <c r="B2016" i="1"/>
  <c r="C2016" i="1"/>
  <c r="D2016" i="1"/>
  <c r="B2017" i="1"/>
  <c r="C2017" i="1"/>
  <c r="D2017" i="1"/>
  <c r="B2018" i="1"/>
  <c r="C2018" i="1"/>
  <c r="D2018" i="1"/>
  <c r="B2019" i="1"/>
  <c r="C2019" i="1"/>
  <c r="D2019" i="1"/>
  <c r="B2020" i="1"/>
  <c r="C2020" i="1"/>
  <c r="D2020" i="1"/>
  <c r="B2021" i="1"/>
  <c r="C2021" i="1"/>
  <c r="D2021" i="1"/>
  <c r="B2022" i="1"/>
  <c r="C2022" i="1"/>
  <c r="D2022" i="1"/>
  <c r="B2023" i="1"/>
  <c r="C2023" i="1"/>
  <c r="D2023" i="1"/>
  <c r="B2024" i="1"/>
  <c r="C2024" i="1"/>
  <c r="D2024" i="1"/>
  <c r="B2025" i="1"/>
  <c r="C2025" i="1"/>
  <c r="D2025" i="1"/>
  <c r="B2026" i="1"/>
  <c r="C2026" i="1"/>
  <c r="D2026" i="1"/>
  <c r="B2027" i="1"/>
  <c r="C2027" i="1"/>
  <c r="D2027" i="1"/>
  <c r="B2028" i="1"/>
  <c r="C2028" i="1"/>
  <c r="D2028" i="1"/>
  <c r="B2029" i="1"/>
  <c r="C2029" i="1"/>
  <c r="D2029" i="1"/>
  <c r="B2030" i="1"/>
  <c r="C2030" i="1"/>
  <c r="D2030" i="1"/>
  <c r="B2031" i="1"/>
  <c r="C2031" i="1"/>
  <c r="D2031" i="1"/>
  <c r="B2032" i="1"/>
  <c r="C2032" i="1"/>
  <c r="D2032" i="1"/>
  <c r="B2033" i="1"/>
  <c r="C2033" i="1"/>
  <c r="D2033" i="1"/>
  <c r="B2034" i="1"/>
  <c r="C2034" i="1"/>
  <c r="D2034" i="1"/>
  <c r="B2035" i="1"/>
  <c r="C2035" i="1"/>
  <c r="D2035" i="1"/>
  <c r="B2036" i="1"/>
  <c r="C2036" i="1"/>
  <c r="D2036" i="1"/>
  <c r="B2037" i="1"/>
  <c r="C2037" i="1"/>
  <c r="D2037" i="1"/>
  <c r="B2038" i="1"/>
  <c r="C2038" i="1"/>
  <c r="D2038" i="1"/>
  <c r="B2039" i="1"/>
  <c r="C2039" i="1"/>
  <c r="D2039" i="1"/>
  <c r="B2040" i="1"/>
  <c r="C2040" i="1"/>
  <c r="D2040" i="1"/>
  <c r="B2041" i="1"/>
  <c r="C2041" i="1"/>
  <c r="D2041" i="1"/>
  <c r="B2042" i="1"/>
  <c r="C2042" i="1"/>
  <c r="D2042" i="1"/>
  <c r="B2043" i="1"/>
  <c r="C2043" i="1"/>
  <c r="D2043" i="1"/>
  <c r="B2044" i="1"/>
  <c r="C2044" i="1"/>
  <c r="D2044" i="1"/>
  <c r="B2045" i="1"/>
  <c r="C2045" i="1"/>
  <c r="D2045" i="1"/>
  <c r="B2046" i="1"/>
  <c r="C2046" i="1"/>
  <c r="D2046" i="1"/>
  <c r="B2047" i="1"/>
  <c r="C2047" i="1"/>
  <c r="D2047" i="1"/>
  <c r="B2048" i="1"/>
  <c r="C2048" i="1"/>
  <c r="D2048" i="1"/>
  <c r="B2049" i="1"/>
  <c r="C2049" i="1"/>
  <c r="D2049" i="1"/>
  <c r="B2050" i="1"/>
  <c r="C2050" i="1"/>
  <c r="D2050" i="1"/>
  <c r="B2051" i="1"/>
  <c r="C2051" i="1"/>
  <c r="D2051" i="1"/>
  <c r="B2052" i="1"/>
  <c r="C2052" i="1"/>
  <c r="D2052" i="1"/>
  <c r="B2053" i="1"/>
  <c r="C2053" i="1"/>
  <c r="D2053" i="1"/>
  <c r="B2054" i="1"/>
  <c r="C2054" i="1"/>
  <c r="D2054" i="1"/>
  <c r="B2055" i="1"/>
  <c r="C2055" i="1"/>
  <c r="D2055" i="1"/>
  <c r="B2056" i="1"/>
  <c r="C2056" i="1"/>
  <c r="D2056" i="1"/>
  <c r="B2057" i="1"/>
  <c r="C2057" i="1"/>
  <c r="D2057" i="1"/>
  <c r="B2058" i="1"/>
  <c r="C2058" i="1"/>
  <c r="D2058" i="1"/>
  <c r="B2059" i="1"/>
  <c r="C2059" i="1"/>
  <c r="D2059" i="1"/>
  <c r="B2060" i="1"/>
  <c r="C2060" i="1"/>
  <c r="D2060" i="1"/>
  <c r="B2061" i="1"/>
  <c r="C2061" i="1"/>
  <c r="D2061" i="1"/>
  <c r="B2062" i="1"/>
  <c r="C2062" i="1"/>
  <c r="D2062" i="1"/>
  <c r="B2063" i="1"/>
  <c r="C2063" i="1"/>
  <c r="D2063" i="1"/>
  <c r="B2064" i="1"/>
  <c r="C2064" i="1"/>
  <c r="D2064" i="1"/>
  <c r="B2065" i="1"/>
  <c r="C2065" i="1"/>
  <c r="D2065" i="1"/>
  <c r="B2066" i="1"/>
  <c r="C2066" i="1"/>
  <c r="D2066" i="1"/>
  <c r="B2067" i="1"/>
  <c r="C2067" i="1"/>
  <c r="D2067" i="1"/>
  <c r="B2068" i="1"/>
  <c r="C2068" i="1"/>
  <c r="D2068" i="1"/>
  <c r="B2069" i="1"/>
  <c r="C2069" i="1"/>
  <c r="D2069" i="1"/>
  <c r="B2070" i="1"/>
  <c r="C2070" i="1"/>
  <c r="D2070" i="1"/>
  <c r="B2071" i="1"/>
  <c r="C2071" i="1"/>
  <c r="D2071" i="1"/>
  <c r="B2072" i="1"/>
  <c r="C2072" i="1"/>
  <c r="D2072" i="1"/>
  <c r="B2073" i="1"/>
  <c r="C2073" i="1"/>
  <c r="D2073" i="1"/>
  <c r="B2074" i="1"/>
  <c r="C2074" i="1"/>
  <c r="D2074" i="1"/>
  <c r="B2075" i="1"/>
  <c r="C2075" i="1"/>
  <c r="D2075" i="1"/>
  <c r="B2076" i="1"/>
  <c r="C2076" i="1"/>
  <c r="D2076" i="1"/>
  <c r="B2077" i="1"/>
  <c r="C2077" i="1"/>
  <c r="D2077" i="1"/>
  <c r="B2078" i="1"/>
  <c r="C2078" i="1"/>
  <c r="D2078" i="1"/>
  <c r="B2079" i="1"/>
  <c r="C2079" i="1"/>
  <c r="D2079" i="1"/>
  <c r="B2080" i="1"/>
  <c r="C2080" i="1"/>
  <c r="D2080" i="1"/>
  <c r="B2081" i="1"/>
  <c r="C2081" i="1"/>
  <c r="D2081" i="1"/>
  <c r="B2082" i="1"/>
  <c r="C2082" i="1"/>
  <c r="D2082" i="1"/>
  <c r="B2083" i="1"/>
  <c r="C2083" i="1"/>
  <c r="D2083" i="1"/>
  <c r="B2084" i="1"/>
  <c r="C2084" i="1"/>
  <c r="D2084" i="1"/>
  <c r="B2085" i="1"/>
  <c r="C2085" i="1"/>
  <c r="D2085" i="1"/>
  <c r="B2086" i="1"/>
  <c r="C2086" i="1"/>
  <c r="D2086" i="1"/>
  <c r="B2087" i="1"/>
  <c r="C2087" i="1"/>
  <c r="D2087" i="1"/>
  <c r="B2088" i="1"/>
  <c r="C2088" i="1"/>
  <c r="D2088" i="1"/>
  <c r="B2089" i="1"/>
  <c r="C2089" i="1"/>
  <c r="D2089" i="1"/>
  <c r="B2090" i="1"/>
  <c r="C2090" i="1"/>
  <c r="D2090" i="1"/>
  <c r="B2091" i="1"/>
  <c r="C2091" i="1"/>
  <c r="D2091" i="1"/>
  <c r="B2092" i="1"/>
  <c r="C2092" i="1"/>
  <c r="D2092" i="1"/>
  <c r="B2093" i="1"/>
  <c r="C2093" i="1"/>
  <c r="D2093" i="1"/>
  <c r="B2094" i="1"/>
  <c r="C2094" i="1"/>
  <c r="D2094" i="1"/>
  <c r="B2095" i="1"/>
  <c r="C2095" i="1"/>
  <c r="D2095" i="1"/>
  <c r="B2096" i="1"/>
  <c r="C2096" i="1"/>
  <c r="D2096" i="1"/>
  <c r="B2097" i="1"/>
  <c r="C2097" i="1"/>
  <c r="D2097" i="1"/>
  <c r="B2098" i="1"/>
  <c r="C2098" i="1"/>
  <c r="D2098" i="1"/>
  <c r="B2099" i="1"/>
  <c r="C2099" i="1"/>
  <c r="D2099" i="1"/>
  <c r="B2100" i="1"/>
  <c r="C2100" i="1"/>
  <c r="D2100" i="1"/>
  <c r="B2101" i="1"/>
  <c r="C2101" i="1"/>
  <c r="D2101" i="1"/>
  <c r="B2102" i="1"/>
  <c r="C2102" i="1"/>
  <c r="D2102" i="1"/>
  <c r="B2103" i="1"/>
  <c r="C2103" i="1"/>
  <c r="D2103" i="1"/>
  <c r="B2104" i="1"/>
  <c r="C2104" i="1"/>
  <c r="D2104" i="1"/>
  <c r="B2105" i="1"/>
  <c r="C2105" i="1"/>
  <c r="D2105" i="1"/>
  <c r="B2106" i="1"/>
  <c r="C2106" i="1"/>
  <c r="D2106" i="1"/>
  <c r="B2107" i="1"/>
  <c r="C2107" i="1"/>
  <c r="D2107" i="1"/>
  <c r="B2108" i="1"/>
  <c r="C2108" i="1"/>
  <c r="D2108" i="1"/>
  <c r="B2109" i="1"/>
  <c r="C2109" i="1"/>
  <c r="D2109" i="1"/>
  <c r="B2110" i="1"/>
  <c r="C2110" i="1"/>
  <c r="D2110" i="1"/>
  <c r="B2111" i="1"/>
  <c r="C2111" i="1"/>
  <c r="D2111" i="1"/>
  <c r="B2112" i="1"/>
  <c r="C2112" i="1"/>
  <c r="D2112" i="1"/>
  <c r="B2113" i="1"/>
  <c r="C2113" i="1"/>
  <c r="D2113" i="1"/>
  <c r="B2114" i="1"/>
  <c r="C2114" i="1"/>
  <c r="D2114" i="1"/>
  <c r="B2115" i="1"/>
  <c r="C2115" i="1"/>
  <c r="D2115" i="1"/>
  <c r="B2116" i="1"/>
  <c r="C2116" i="1"/>
  <c r="D2116" i="1"/>
  <c r="B2117" i="1"/>
  <c r="C2117" i="1"/>
  <c r="D2117" i="1"/>
  <c r="B2118" i="1"/>
  <c r="C2118" i="1"/>
  <c r="D2118" i="1"/>
  <c r="B2119" i="1"/>
  <c r="C2119" i="1"/>
  <c r="D2119" i="1"/>
  <c r="B2120" i="1"/>
  <c r="C2120" i="1"/>
  <c r="D2120" i="1"/>
  <c r="B2121" i="1"/>
  <c r="C2121" i="1"/>
  <c r="D2121" i="1"/>
  <c r="B2122" i="1"/>
  <c r="C2122" i="1"/>
  <c r="D2122" i="1"/>
  <c r="B2123" i="1"/>
  <c r="C2123" i="1"/>
  <c r="D2123" i="1"/>
  <c r="B2124" i="1"/>
  <c r="C2124" i="1"/>
  <c r="D2124" i="1"/>
  <c r="B2125" i="1"/>
  <c r="C2125" i="1"/>
  <c r="D2125" i="1"/>
  <c r="B2126" i="1"/>
  <c r="C2126" i="1"/>
  <c r="D2126" i="1"/>
  <c r="B2127" i="1"/>
  <c r="C2127" i="1"/>
  <c r="D2127" i="1"/>
  <c r="B2128" i="1"/>
  <c r="C2128" i="1"/>
  <c r="D2128" i="1"/>
  <c r="B2129" i="1"/>
  <c r="C2129" i="1"/>
  <c r="D2129" i="1"/>
  <c r="B2130" i="1"/>
  <c r="C2130" i="1"/>
  <c r="D2130" i="1"/>
  <c r="B2131" i="1"/>
  <c r="C2131" i="1"/>
  <c r="D2131" i="1"/>
  <c r="B2132" i="1"/>
  <c r="C2132" i="1"/>
  <c r="D2132" i="1"/>
  <c r="B2133" i="1"/>
  <c r="C2133" i="1"/>
  <c r="D2133" i="1"/>
  <c r="B2134" i="1"/>
  <c r="C2134" i="1"/>
  <c r="D2134" i="1"/>
  <c r="B2135" i="1"/>
  <c r="C2135" i="1"/>
  <c r="D2135" i="1"/>
  <c r="B2136" i="1"/>
  <c r="C2136" i="1"/>
  <c r="D2136" i="1"/>
  <c r="B2137" i="1"/>
  <c r="C2137" i="1"/>
  <c r="D2137" i="1"/>
  <c r="B2138" i="1"/>
  <c r="C2138" i="1"/>
  <c r="D2138" i="1"/>
  <c r="B2139" i="1"/>
  <c r="C2139" i="1"/>
  <c r="D2139" i="1"/>
  <c r="B2140" i="1"/>
  <c r="C2140" i="1"/>
  <c r="D2140" i="1"/>
  <c r="B2141" i="1"/>
  <c r="C2141" i="1"/>
  <c r="D2141" i="1"/>
  <c r="B2142" i="1"/>
  <c r="C2142" i="1"/>
  <c r="D2142" i="1"/>
  <c r="B2143" i="1"/>
  <c r="C2143" i="1"/>
  <c r="D2143" i="1"/>
  <c r="B2144" i="1"/>
  <c r="C2144" i="1"/>
  <c r="D2144" i="1"/>
  <c r="B2145" i="1"/>
  <c r="C2145" i="1"/>
  <c r="D2145" i="1"/>
  <c r="B2146" i="1"/>
  <c r="C2146" i="1"/>
  <c r="D2146" i="1"/>
  <c r="B2147" i="1"/>
  <c r="C2147" i="1"/>
  <c r="D2147" i="1"/>
  <c r="B2148" i="1"/>
  <c r="C2148" i="1"/>
  <c r="D2148" i="1"/>
  <c r="B2149" i="1"/>
  <c r="C2149" i="1"/>
  <c r="D2149" i="1"/>
  <c r="B2150" i="1"/>
  <c r="C2150" i="1"/>
  <c r="D2150" i="1"/>
  <c r="B2151" i="1"/>
  <c r="C2151" i="1"/>
  <c r="D2151" i="1"/>
  <c r="B2152" i="1"/>
  <c r="C2152" i="1"/>
  <c r="D2152" i="1"/>
  <c r="B2153" i="1"/>
  <c r="C2153" i="1"/>
  <c r="D2153" i="1"/>
  <c r="B2154" i="1"/>
  <c r="C2154" i="1"/>
  <c r="D2154" i="1"/>
  <c r="B2155" i="1"/>
  <c r="C2155" i="1"/>
  <c r="D2155" i="1"/>
  <c r="B2156" i="1"/>
  <c r="C2156" i="1"/>
  <c r="D2156" i="1"/>
  <c r="B2157" i="1"/>
  <c r="C2157" i="1"/>
  <c r="D2157" i="1"/>
  <c r="B2158" i="1"/>
  <c r="C2158" i="1"/>
  <c r="D2158" i="1"/>
  <c r="B2159" i="1"/>
  <c r="C2159" i="1"/>
  <c r="D2159" i="1"/>
  <c r="B2160" i="1"/>
  <c r="C2160" i="1"/>
  <c r="D2160" i="1"/>
  <c r="B2161" i="1"/>
  <c r="C2161" i="1"/>
  <c r="D2161" i="1"/>
  <c r="B2162" i="1"/>
  <c r="C2162" i="1"/>
  <c r="D2162" i="1"/>
  <c r="B2163" i="1"/>
  <c r="C2163" i="1"/>
  <c r="D2163" i="1"/>
  <c r="B2164" i="1"/>
  <c r="C2164" i="1"/>
  <c r="D2164" i="1"/>
  <c r="B2165" i="1"/>
  <c r="C2165" i="1"/>
  <c r="D2165" i="1"/>
  <c r="B2166" i="1"/>
  <c r="C2166" i="1"/>
  <c r="D2166" i="1"/>
  <c r="B2167" i="1"/>
  <c r="C2167" i="1"/>
  <c r="D2167" i="1"/>
  <c r="B2168" i="1"/>
  <c r="C2168" i="1"/>
  <c r="D2168" i="1"/>
  <c r="B2169" i="1"/>
  <c r="C2169" i="1"/>
  <c r="D2169" i="1"/>
  <c r="B2170" i="1"/>
  <c r="C2170" i="1"/>
  <c r="D2170" i="1"/>
  <c r="B2171" i="1"/>
  <c r="C2171" i="1"/>
  <c r="D2171" i="1"/>
  <c r="B2172" i="1"/>
  <c r="C2172" i="1"/>
  <c r="D2172" i="1"/>
  <c r="B2173" i="1"/>
  <c r="C2173" i="1"/>
  <c r="D2173" i="1"/>
  <c r="B2174" i="1"/>
  <c r="C2174" i="1"/>
  <c r="D2174" i="1"/>
  <c r="B2175" i="1"/>
  <c r="C2175" i="1"/>
  <c r="D2175" i="1"/>
  <c r="B2176" i="1"/>
  <c r="C2176" i="1"/>
  <c r="D2176" i="1"/>
  <c r="B2177" i="1"/>
  <c r="C2177" i="1"/>
  <c r="D2177" i="1"/>
  <c r="B2178" i="1"/>
  <c r="C2178" i="1"/>
  <c r="D2178" i="1"/>
  <c r="B2179" i="1"/>
  <c r="C2179" i="1"/>
  <c r="D2179" i="1"/>
  <c r="B2180" i="1"/>
  <c r="C2180" i="1"/>
  <c r="D2180" i="1"/>
  <c r="B2181" i="1"/>
  <c r="C2181" i="1"/>
  <c r="D2181" i="1"/>
  <c r="B2182" i="1"/>
  <c r="C2182" i="1"/>
  <c r="D2182" i="1"/>
  <c r="B2183" i="1"/>
  <c r="C2183" i="1"/>
  <c r="D2183" i="1"/>
  <c r="B2184" i="1"/>
  <c r="C2184" i="1"/>
  <c r="D2184" i="1"/>
  <c r="B2185" i="1"/>
  <c r="C2185" i="1"/>
  <c r="D2185" i="1"/>
  <c r="B2186" i="1"/>
  <c r="C2186" i="1"/>
  <c r="D2186" i="1"/>
  <c r="B2187" i="1"/>
  <c r="C2187" i="1"/>
  <c r="D2187" i="1"/>
  <c r="B2188" i="1"/>
  <c r="C2188" i="1"/>
  <c r="D2188" i="1"/>
  <c r="B2189" i="1"/>
  <c r="C2189" i="1"/>
  <c r="D2189" i="1"/>
  <c r="B2190" i="1"/>
  <c r="C2190" i="1"/>
  <c r="D2190" i="1"/>
  <c r="B2191" i="1"/>
  <c r="C2191" i="1"/>
  <c r="D2191" i="1"/>
  <c r="B2192" i="1"/>
  <c r="C2192" i="1"/>
  <c r="D2192" i="1"/>
  <c r="B2193" i="1"/>
  <c r="C2193" i="1"/>
  <c r="D2193" i="1"/>
  <c r="B2194" i="1"/>
  <c r="C2194" i="1"/>
  <c r="D2194" i="1"/>
  <c r="B2195" i="1"/>
  <c r="C2195" i="1"/>
  <c r="D2195" i="1"/>
  <c r="B2196" i="1"/>
  <c r="C2196" i="1"/>
  <c r="D2196" i="1"/>
  <c r="B2197" i="1"/>
  <c r="C2197" i="1"/>
  <c r="D2197" i="1"/>
  <c r="B2198" i="1"/>
  <c r="C2198" i="1"/>
  <c r="D2198" i="1"/>
  <c r="B2199" i="1"/>
  <c r="C2199" i="1"/>
  <c r="D2199" i="1"/>
  <c r="B2200" i="1"/>
  <c r="C2200" i="1"/>
  <c r="D2200" i="1"/>
  <c r="B2201" i="1"/>
  <c r="C2201" i="1"/>
  <c r="D2201" i="1"/>
  <c r="B2202" i="1"/>
  <c r="C2202" i="1"/>
  <c r="D2202" i="1"/>
  <c r="B2203" i="1"/>
  <c r="C2203" i="1"/>
  <c r="D2203" i="1"/>
  <c r="B2204" i="1"/>
  <c r="C2204" i="1"/>
  <c r="D2204" i="1"/>
  <c r="B2205" i="1"/>
  <c r="C2205" i="1"/>
  <c r="D2205" i="1"/>
  <c r="B2206" i="1"/>
  <c r="C2206" i="1"/>
  <c r="D2206" i="1"/>
  <c r="B2207" i="1"/>
  <c r="C2207" i="1"/>
  <c r="D2207" i="1"/>
  <c r="B2208" i="1"/>
  <c r="C2208" i="1"/>
  <c r="D2208" i="1"/>
  <c r="B2209" i="1"/>
  <c r="C2209" i="1"/>
  <c r="D2209" i="1"/>
  <c r="B2210" i="1"/>
  <c r="C2210" i="1"/>
  <c r="D2210" i="1"/>
  <c r="B2211" i="1"/>
  <c r="C2211" i="1"/>
  <c r="D2211" i="1"/>
  <c r="B2212" i="1"/>
  <c r="C2212" i="1"/>
  <c r="D2212" i="1"/>
  <c r="B2213" i="1"/>
  <c r="C2213" i="1"/>
  <c r="D2213" i="1"/>
  <c r="B2214" i="1"/>
  <c r="C2214" i="1"/>
  <c r="D2214" i="1"/>
  <c r="B2215" i="1"/>
  <c r="C2215" i="1"/>
  <c r="D2215" i="1"/>
  <c r="B2216" i="1"/>
  <c r="C2216" i="1"/>
  <c r="D2216" i="1"/>
  <c r="B2217" i="1"/>
  <c r="C2217" i="1"/>
  <c r="D2217" i="1"/>
  <c r="B2218" i="1"/>
  <c r="C2218" i="1"/>
  <c r="D2218" i="1"/>
  <c r="B2219" i="1"/>
  <c r="C2219" i="1"/>
  <c r="D2219" i="1"/>
  <c r="B2220" i="1"/>
  <c r="C2220" i="1"/>
  <c r="D2220" i="1"/>
  <c r="B2221" i="1"/>
  <c r="C2221" i="1"/>
  <c r="D2221" i="1"/>
  <c r="B2222" i="1"/>
  <c r="C2222" i="1"/>
  <c r="D2222" i="1"/>
  <c r="B2223" i="1"/>
  <c r="C2223" i="1"/>
  <c r="D2223" i="1"/>
  <c r="B2224" i="1"/>
  <c r="C2224" i="1"/>
  <c r="D2224" i="1"/>
  <c r="B2225" i="1"/>
  <c r="C2225" i="1"/>
  <c r="D2225" i="1"/>
  <c r="B2226" i="1"/>
  <c r="C2226" i="1"/>
  <c r="D2226" i="1"/>
  <c r="B2227" i="1"/>
  <c r="C2227" i="1"/>
  <c r="D2227" i="1"/>
  <c r="B2228" i="1"/>
  <c r="C2228" i="1"/>
  <c r="D2228" i="1"/>
  <c r="B2229" i="1"/>
  <c r="C2229" i="1"/>
  <c r="D2229" i="1"/>
  <c r="B2230" i="1"/>
  <c r="C2230" i="1"/>
  <c r="D2230" i="1"/>
  <c r="B2231" i="1"/>
  <c r="C2231" i="1"/>
  <c r="D2231" i="1"/>
  <c r="B2232" i="1"/>
  <c r="C2232" i="1"/>
  <c r="D2232" i="1"/>
  <c r="B2233" i="1"/>
  <c r="C2233" i="1"/>
  <c r="D2233" i="1"/>
  <c r="B2234" i="1"/>
  <c r="C2234" i="1"/>
  <c r="D2234" i="1"/>
  <c r="B2235" i="1"/>
  <c r="C2235" i="1"/>
  <c r="D2235" i="1"/>
  <c r="B2236" i="1"/>
  <c r="C2236" i="1"/>
  <c r="D2236" i="1"/>
  <c r="B2237" i="1"/>
  <c r="C2237" i="1"/>
  <c r="D2237" i="1"/>
  <c r="B2238" i="1"/>
  <c r="C2238" i="1"/>
  <c r="D2238" i="1"/>
  <c r="B2239" i="1"/>
  <c r="C2239" i="1"/>
  <c r="D2239" i="1"/>
  <c r="B2240" i="1"/>
  <c r="C2240" i="1"/>
  <c r="D2240" i="1"/>
  <c r="B2241" i="1"/>
  <c r="C2241" i="1"/>
  <c r="D2241" i="1"/>
  <c r="B2242" i="1"/>
  <c r="C2242" i="1"/>
  <c r="D2242" i="1"/>
  <c r="B2243" i="1"/>
  <c r="C2243" i="1"/>
  <c r="D2243" i="1"/>
  <c r="B2244" i="1"/>
  <c r="C2244" i="1"/>
  <c r="D2244" i="1"/>
  <c r="B2245" i="1"/>
  <c r="C2245" i="1"/>
  <c r="D2245" i="1"/>
  <c r="B2246" i="1"/>
  <c r="C2246" i="1"/>
  <c r="D2246" i="1"/>
  <c r="B2247" i="1"/>
  <c r="C2247" i="1"/>
  <c r="D2247" i="1"/>
  <c r="B2248" i="1"/>
  <c r="C2248" i="1"/>
  <c r="D2248" i="1"/>
  <c r="B2249" i="1"/>
  <c r="C2249" i="1"/>
  <c r="D2249" i="1"/>
  <c r="B2250" i="1"/>
  <c r="C2250" i="1"/>
  <c r="D2250" i="1"/>
  <c r="B2251" i="1"/>
  <c r="C2251" i="1"/>
  <c r="D2251" i="1"/>
</calcChain>
</file>

<file path=xl/sharedStrings.xml><?xml version="1.0" encoding="utf-8"?>
<sst xmlns="http://schemas.openxmlformats.org/spreadsheetml/2006/main" count="2254" uniqueCount="75">
  <si>
    <t>报考岗位</t>
  </si>
  <si>
    <t>姓名</t>
  </si>
  <si>
    <t>性别</t>
  </si>
  <si>
    <t>出生年月</t>
  </si>
  <si>
    <t>A045_管理人员2</t>
  </si>
  <si>
    <t>A053_专技人员</t>
  </si>
  <si>
    <t>A016_经济栏目编辑</t>
  </si>
  <si>
    <t xml:space="preserve">A069_管理人员2 </t>
  </si>
  <si>
    <t>A003_管理人员</t>
  </si>
  <si>
    <t>A058_专技人员</t>
  </si>
  <si>
    <t>A041_专技人员</t>
  </si>
  <si>
    <t>A031_管理人员</t>
  </si>
  <si>
    <t>A017_管理人员</t>
  </si>
  <si>
    <t>A007_管理人员</t>
  </si>
  <si>
    <t>A006_管理人员</t>
  </si>
  <si>
    <t>A021_管理人员2</t>
  </si>
  <si>
    <t>A062_专技人员</t>
  </si>
  <si>
    <t>A025_专技人员</t>
  </si>
  <si>
    <t>A036_管理人员</t>
  </si>
  <si>
    <t>A052_专技人员</t>
  </si>
  <si>
    <t>A032_管理人员</t>
  </si>
  <si>
    <t>A014_记者</t>
  </si>
  <si>
    <t>A040_管理人员</t>
  </si>
  <si>
    <t>A066_专技人员</t>
  </si>
  <si>
    <t>A070_管理人员1</t>
  </si>
  <si>
    <t>A009_管理人员</t>
  </si>
  <si>
    <t>A049_专技人员</t>
  </si>
  <si>
    <t>A042_专技人员</t>
  </si>
  <si>
    <t>A055_管理人员2</t>
  </si>
  <si>
    <t>A047_管理人员</t>
  </si>
  <si>
    <t>A030_管理人员3</t>
  </si>
  <si>
    <t>A004_管理人员</t>
  </si>
  <si>
    <t>A054_管理人员1</t>
  </si>
  <si>
    <t>A057_管理人员</t>
  </si>
  <si>
    <t>A067_专技人员</t>
  </si>
  <si>
    <t>A065_专技人员</t>
  </si>
  <si>
    <t>A035_管理人员</t>
  </si>
  <si>
    <t>A071_管理人员2</t>
  </si>
  <si>
    <t>A064_管理人员</t>
  </si>
  <si>
    <t>A015_新媒体编辑</t>
  </si>
  <si>
    <t>A060_管理人员</t>
  </si>
  <si>
    <t>A019_管理人员</t>
  </si>
  <si>
    <t>A039_管理人员</t>
  </si>
  <si>
    <t>A008_管理人员</t>
  </si>
  <si>
    <t>A034_管理人员</t>
  </si>
  <si>
    <t>A059_管理人员</t>
  </si>
  <si>
    <t>A002_管理人员2</t>
  </si>
  <si>
    <t>A061_管理人员</t>
  </si>
  <si>
    <t>A029_管理人员2</t>
  </si>
  <si>
    <t>A063_专技人员</t>
  </si>
  <si>
    <t>A027_专技人员</t>
  </si>
  <si>
    <t>A012_管理人员</t>
  </si>
  <si>
    <t>A026_管理人员</t>
  </si>
  <si>
    <t>A051_专技人员2</t>
  </si>
  <si>
    <t>A038_专技人员2</t>
  </si>
  <si>
    <t>A056_管理人员3</t>
  </si>
  <si>
    <t>A044_管理人员1</t>
  </si>
  <si>
    <t>A048_管理人员</t>
  </si>
  <si>
    <t>A037_专技人员1</t>
  </si>
  <si>
    <t>A022_管理人员</t>
  </si>
  <si>
    <t>A023_管理人员</t>
  </si>
  <si>
    <t>A028_管理人员1</t>
  </si>
  <si>
    <t>A013_专技人员</t>
  </si>
  <si>
    <t>A024_管理人员</t>
  </si>
  <si>
    <t>A068_管理人员1</t>
  </si>
  <si>
    <t>A033_管理人员</t>
  </si>
  <si>
    <t>A010_管理人员</t>
  </si>
  <si>
    <t>A050_专技人员1</t>
  </si>
  <si>
    <t>A046_专技人员</t>
  </si>
  <si>
    <t>A005_专技人员</t>
  </si>
  <si>
    <t>A011_管理人员</t>
  </si>
  <si>
    <t>A018_专技人员</t>
  </si>
  <si>
    <t>A043_教练</t>
  </si>
  <si>
    <t>A020_管理人员1</t>
  </si>
  <si>
    <t>A001_管理人员1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</si>
</sst>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51"/>
  <sheetViews>
    <sheetView tabSelected="1" topLeftCell="A151" workbookViewId="0">
      <selection sqref="A1:D2251"/>
    </sheetView>
  </sheetViews>
  <sheetFormatPr defaultRowHeight="15.75" customHeight="1" x14ac:dyDescent="0.2"/>
  <cols>
    <col min="1" max="1" width="18.625" style="1" bestFit="1" customWidth="1"/>
    <col min="2" max="3" width="9" style="1"/>
    <col min="4" max="4" width="11.625" style="1" bestFit="1" customWidth="1"/>
  </cols>
  <sheetData>
    <row r="1" spans="1:4" ht="15.75" customHeight="1" x14ac:dyDescent="0.2">
      <c r="A1" s="2" t="s">
        <v>0</v>
      </c>
      <c r="B1" s="2" t="s">
        <v>1</v>
      </c>
      <c r="C1" s="2" t="s">
        <v>2</v>
      </c>
      <c r="D1" s="2" t="s">
        <v>3</v>
      </c>
    </row>
    <row r="2" spans="1:4" ht="15.75" customHeight="1" x14ac:dyDescent="0.2">
      <c r="A2" s="2" t="s">
        <v>4</v>
      </c>
      <c r="B2" s="2" t="str">
        <f>"刘伟"</f>
        <v>刘伟</v>
      </c>
      <c r="C2" s="2" t="str">
        <f>"男"</f>
        <v>男</v>
      </c>
      <c r="D2" s="2" t="str">
        <f>"1987-01-10"</f>
        <v>1987-01-10</v>
      </c>
    </row>
    <row r="3" spans="1:4" ht="15.75" customHeight="1" x14ac:dyDescent="0.2">
      <c r="A3" s="2" t="s">
        <v>5</v>
      </c>
      <c r="B3" s="2" t="str">
        <f>"易湘吉"</f>
        <v>易湘吉</v>
      </c>
      <c r="C3" s="2" t="str">
        <f>"男"</f>
        <v>男</v>
      </c>
      <c r="D3" s="2" t="str">
        <f>"1999-07-15"</f>
        <v>1999-07-15</v>
      </c>
    </row>
    <row r="4" spans="1:4" ht="15.75" customHeight="1" x14ac:dyDescent="0.2">
      <c r="A4" s="2" t="s">
        <v>6</v>
      </c>
      <c r="B4" s="2" t="str">
        <f>"王磊"</f>
        <v>王磊</v>
      </c>
      <c r="C4" s="2" t="str">
        <f>"男"</f>
        <v>男</v>
      </c>
      <c r="D4" s="2" t="str">
        <f>"1997-03-11"</f>
        <v>1997-03-11</v>
      </c>
    </row>
    <row r="5" spans="1:4" ht="15.75" customHeight="1" x14ac:dyDescent="0.2">
      <c r="A5" s="2" t="s">
        <v>7</v>
      </c>
      <c r="B5" s="2" t="str">
        <f>"雷佳"</f>
        <v>雷佳</v>
      </c>
      <c r="C5" s="2" t="str">
        <f>"女"</f>
        <v>女</v>
      </c>
      <c r="D5" s="2" t="str">
        <f>"1995-06-12"</f>
        <v>1995-06-12</v>
      </c>
    </row>
    <row r="6" spans="1:4" ht="15.75" customHeight="1" x14ac:dyDescent="0.2">
      <c r="A6" s="2" t="s">
        <v>8</v>
      </c>
      <c r="B6" s="2" t="str">
        <f>"唐国伟"</f>
        <v>唐国伟</v>
      </c>
      <c r="C6" s="2" t="str">
        <f>"女"</f>
        <v>女</v>
      </c>
      <c r="D6" s="2" t="str">
        <f>"2000-09-13"</f>
        <v>2000-09-13</v>
      </c>
    </row>
    <row r="7" spans="1:4" ht="15.75" customHeight="1" x14ac:dyDescent="0.2">
      <c r="A7" s="2" t="s">
        <v>9</v>
      </c>
      <c r="B7" s="2" t="str">
        <f>"马觐"</f>
        <v>马觐</v>
      </c>
      <c r="C7" s="2" t="str">
        <f>"男"</f>
        <v>男</v>
      </c>
      <c r="D7" s="2" t="str">
        <f>"1999-09-21"</f>
        <v>1999-09-21</v>
      </c>
    </row>
    <row r="8" spans="1:4" ht="15.75" customHeight="1" x14ac:dyDescent="0.2">
      <c r="A8" s="2" t="s">
        <v>10</v>
      </c>
      <c r="B8" s="2" t="str">
        <f>"赵文炜"</f>
        <v>赵文炜</v>
      </c>
      <c r="C8" s="2" t="str">
        <f>"男"</f>
        <v>男</v>
      </c>
      <c r="D8" s="2" t="str">
        <f>"1996-09-01"</f>
        <v>1996-09-01</v>
      </c>
    </row>
    <row r="9" spans="1:4" ht="15.75" customHeight="1" x14ac:dyDescent="0.2">
      <c r="A9" s="2" t="s">
        <v>11</v>
      </c>
      <c r="B9" s="2" t="str">
        <f>"王威"</f>
        <v>王威</v>
      </c>
      <c r="C9" s="2" t="str">
        <f>"男"</f>
        <v>男</v>
      </c>
      <c r="D9" s="2" t="str">
        <f>"1996-10-30"</f>
        <v>1996-10-30</v>
      </c>
    </row>
    <row r="10" spans="1:4" ht="15.75" customHeight="1" x14ac:dyDescent="0.2">
      <c r="A10" s="2" t="s">
        <v>12</v>
      </c>
      <c r="B10" s="2" t="str">
        <f>"孙萌名"</f>
        <v>孙萌名</v>
      </c>
      <c r="C10" s="2" t="str">
        <f>"女"</f>
        <v>女</v>
      </c>
      <c r="D10" s="2" t="str">
        <f>"1988-10-05"</f>
        <v>1988-10-05</v>
      </c>
    </row>
    <row r="11" spans="1:4" ht="15.75" customHeight="1" x14ac:dyDescent="0.2">
      <c r="A11" s="2" t="s">
        <v>13</v>
      </c>
      <c r="B11" s="2" t="str">
        <f>"简梦蝶"</f>
        <v>简梦蝶</v>
      </c>
      <c r="C11" s="2" t="str">
        <f>"女"</f>
        <v>女</v>
      </c>
      <c r="D11" s="2" t="str">
        <f>"1994-02-18"</f>
        <v>1994-02-18</v>
      </c>
    </row>
    <row r="12" spans="1:4" ht="15.75" customHeight="1" x14ac:dyDescent="0.2">
      <c r="A12" s="2" t="s">
        <v>8</v>
      </c>
      <c r="B12" s="2" t="str">
        <f>"庹宜春"</f>
        <v>庹宜春</v>
      </c>
      <c r="C12" s="2" t="str">
        <f>"女"</f>
        <v>女</v>
      </c>
      <c r="D12" s="2" t="str">
        <f>"1989-02-07"</f>
        <v>1989-02-07</v>
      </c>
    </row>
    <row r="13" spans="1:4" ht="15.75" customHeight="1" x14ac:dyDescent="0.2">
      <c r="A13" s="2" t="s">
        <v>14</v>
      </c>
      <c r="B13" s="2" t="str">
        <f>"葛江"</f>
        <v>葛江</v>
      </c>
      <c r="C13" s="2" t="str">
        <f>"男"</f>
        <v>男</v>
      </c>
      <c r="D13" s="2" t="str">
        <f>"1988-06-30"</f>
        <v>1988-06-30</v>
      </c>
    </row>
    <row r="14" spans="1:4" ht="15.75" customHeight="1" x14ac:dyDescent="0.2">
      <c r="A14" s="2" t="s">
        <v>15</v>
      </c>
      <c r="B14" s="2" t="str">
        <f>"邱弋豪"</f>
        <v>邱弋豪</v>
      </c>
      <c r="C14" s="2" t="str">
        <f>"男"</f>
        <v>男</v>
      </c>
      <c r="D14" s="2" t="str">
        <f>"1987-08-29"</f>
        <v>1987-08-29</v>
      </c>
    </row>
    <row r="15" spans="1:4" ht="15.75" customHeight="1" x14ac:dyDescent="0.2">
      <c r="A15" s="2" t="s">
        <v>15</v>
      </c>
      <c r="B15" s="2" t="str">
        <f>"黄胜兰"</f>
        <v>黄胜兰</v>
      </c>
      <c r="C15" s="2" t="str">
        <f>"女"</f>
        <v>女</v>
      </c>
      <c r="D15" s="2" t="str">
        <f>"1995-08-28"</f>
        <v>1995-08-28</v>
      </c>
    </row>
    <row r="16" spans="1:4" ht="15.75" customHeight="1" x14ac:dyDescent="0.2">
      <c r="A16" s="2" t="s">
        <v>16</v>
      </c>
      <c r="B16" s="2" t="str">
        <f>"易小龙"</f>
        <v>易小龙</v>
      </c>
      <c r="C16" s="2" t="str">
        <f>"男"</f>
        <v>男</v>
      </c>
      <c r="D16" s="2" t="str">
        <f>"1996-11-23"</f>
        <v>1996-11-23</v>
      </c>
    </row>
    <row r="17" spans="1:4" ht="15.75" customHeight="1" x14ac:dyDescent="0.2">
      <c r="A17" s="2" t="s">
        <v>17</v>
      </c>
      <c r="B17" s="2" t="str">
        <f>"李致荣"</f>
        <v>李致荣</v>
      </c>
      <c r="C17" s="2" t="str">
        <f>"男"</f>
        <v>男</v>
      </c>
      <c r="D17" s="2" t="str">
        <f>"1995-11-24"</f>
        <v>1995-11-24</v>
      </c>
    </row>
    <row r="18" spans="1:4" ht="15.75" customHeight="1" x14ac:dyDescent="0.2">
      <c r="A18" s="2" t="s">
        <v>18</v>
      </c>
      <c r="B18" s="2" t="str">
        <f>"傅星"</f>
        <v>傅星</v>
      </c>
      <c r="C18" s="2" t="str">
        <f>"女"</f>
        <v>女</v>
      </c>
      <c r="D18" s="2" t="str">
        <f>"1990-09-07"</f>
        <v>1990-09-07</v>
      </c>
    </row>
    <row r="19" spans="1:4" ht="15.75" customHeight="1" x14ac:dyDescent="0.2">
      <c r="A19" s="2" t="s">
        <v>19</v>
      </c>
      <c r="B19" s="2" t="str">
        <f>"李宜坤"</f>
        <v>李宜坤</v>
      </c>
      <c r="C19" s="2" t="str">
        <f>"男"</f>
        <v>男</v>
      </c>
      <c r="D19" s="2" t="str">
        <f>"1995-10-14"</f>
        <v>1995-10-14</v>
      </c>
    </row>
    <row r="20" spans="1:4" ht="15.75" customHeight="1" x14ac:dyDescent="0.2">
      <c r="A20" s="2" t="s">
        <v>8</v>
      </c>
      <c r="B20" s="2" t="str">
        <f>"李芬芬"</f>
        <v>李芬芬</v>
      </c>
      <c r="C20" s="2" t="str">
        <f>"女"</f>
        <v>女</v>
      </c>
      <c r="D20" s="2" t="str">
        <f>"1989-12-04"</f>
        <v>1989-12-04</v>
      </c>
    </row>
    <row r="21" spans="1:4" ht="15.75" customHeight="1" x14ac:dyDescent="0.2">
      <c r="A21" s="2" t="s">
        <v>20</v>
      </c>
      <c r="B21" s="2" t="str">
        <f>"罗清诚"</f>
        <v>罗清诚</v>
      </c>
      <c r="C21" s="2" t="str">
        <f>"女"</f>
        <v>女</v>
      </c>
      <c r="D21" s="2" t="str">
        <f>"1999-07-24"</f>
        <v>1999-07-24</v>
      </c>
    </row>
    <row r="22" spans="1:4" ht="15.75" customHeight="1" x14ac:dyDescent="0.2">
      <c r="A22" s="2" t="s">
        <v>21</v>
      </c>
      <c r="B22" s="2" t="str">
        <f>"宋天成"</f>
        <v>宋天成</v>
      </c>
      <c r="C22" s="2" t="str">
        <f>"男"</f>
        <v>男</v>
      </c>
      <c r="D22" s="2" t="str">
        <f>"1989-12-26"</f>
        <v>1989-12-26</v>
      </c>
    </row>
    <row r="23" spans="1:4" ht="15.75" customHeight="1" x14ac:dyDescent="0.2">
      <c r="A23" s="2" t="s">
        <v>13</v>
      </c>
      <c r="B23" s="2" t="str">
        <f>"徐亚运"</f>
        <v>徐亚运</v>
      </c>
      <c r="C23" s="2" t="str">
        <f>"女"</f>
        <v>女</v>
      </c>
      <c r="D23" s="2" t="str">
        <f>"1990-06-15"</f>
        <v>1990-06-15</v>
      </c>
    </row>
    <row r="24" spans="1:4" ht="15.75" customHeight="1" x14ac:dyDescent="0.2">
      <c r="A24" s="2" t="s">
        <v>15</v>
      </c>
      <c r="B24" s="2" t="str">
        <f>"向玲莉"</f>
        <v>向玲莉</v>
      </c>
      <c r="C24" s="2" t="str">
        <f>"女"</f>
        <v>女</v>
      </c>
      <c r="D24" s="2" t="str">
        <f>"1991-12-01"</f>
        <v>1991-12-01</v>
      </c>
    </row>
    <row r="25" spans="1:4" ht="15.75" customHeight="1" x14ac:dyDescent="0.2">
      <c r="A25" s="2" t="s">
        <v>22</v>
      </c>
      <c r="B25" s="2" t="str">
        <f>"赵湘平"</f>
        <v>赵湘平</v>
      </c>
      <c r="C25" s="2" t="str">
        <f>"女"</f>
        <v>女</v>
      </c>
      <c r="D25" s="2" t="str">
        <f>"1999-02-16"</f>
        <v>1999-02-16</v>
      </c>
    </row>
    <row r="26" spans="1:4" ht="15.75" customHeight="1" x14ac:dyDescent="0.2">
      <c r="A26" s="2" t="s">
        <v>23</v>
      </c>
      <c r="B26" s="2" t="str">
        <f>"王子威"</f>
        <v>王子威</v>
      </c>
      <c r="C26" s="2" t="str">
        <f>"男"</f>
        <v>男</v>
      </c>
      <c r="D26" s="2" t="str">
        <f>"1999-08-09"</f>
        <v>1999-08-09</v>
      </c>
    </row>
    <row r="27" spans="1:4" ht="15.75" customHeight="1" x14ac:dyDescent="0.2">
      <c r="A27" s="2" t="s">
        <v>24</v>
      </c>
      <c r="B27" s="2" t="str">
        <f>"颜小钧"</f>
        <v>颜小钧</v>
      </c>
      <c r="C27" s="2" t="str">
        <f>"男"</f>
        <v>男</v>
      </c>
      <c r="D27" s="2" t="str">
        <f>"1990-01-02"</f>
        <v>1990-01-02</v>
      </c>
    </row>
    <row r="28" spans="1:4" ht="15.75" customHeight="1" x14ac:dyDescent="0.2">
      <c r="A28" s="2" t="s">
        <v>24</v>
      </c>
      <c r="B28" s="2" t="str">
        <f>"鲁志霖"</f>
        <v>鲁志霖</v>
      </c>
      <c r="C28" s="2" t="str">
        <f>"女"</f>
        <v>女</v>
      </c>
      <c r="D28" s="2" t="str">
        <f>"1999-10-18"</f>
        <v>1999-10-18</v>
      </c>
    </row>
    <row r="29" spans="1:4" ht="15.75" customHeight="1" x14ac:dyDescent="0.2">
      <c r="A29" s="2" t="s">
        <v>21</v>
      </c>
      <c r="B29" s="2" t="str">
        <f>"牟宇飞"</f>
        <v>牟宇飞</v>
      </c>
      <c r="C29" s="2" t="str">
        <f>"男"</f>
        <v>男</v>
      </c>
      <c r="D29" s="2" t="str">
        <f>"1986-05-09"</f>
        <v>1986-05-09</v>
      </c>
    </row>
    <row r="30" spans="1:4" ht="15.75" customHeight="1" x14ac:dyDescent="0.2">
      <c r="A30" s="2" t="s">
        <v>25</v>
      </c>
      <c r="B30" s="2" t="str">
        <f>"谈演"</f>
        <v>谈演</v>
      </c>
      <c r="C30" s="2" t="str">
        <f>"男"</f>
        <v>男</v>
      </c>
      <c r="D30" s="2" t="str">
        <f>"1989-01-06"</f>
        <v>1989-01-06</v>
      </c>
    </row>
    <row r="31" spans="1:4" ht="15.75" customHeight="1" x14ac:dyDescent="0.2">
      <c r="A31" s="2" t="s">
        <v>8</v>
      </c>
      <c r="B31" s="2" t="str">
        <f>"傅芳婷"</f>
        <v>傅芳婷</v>
      </c>
      <c r="C31" s="2" t="str">
        <f>"女"</f>
        <v>女</v>
      </c>
      <c r="D31" s="2" t="str">
        <f>"1997-03-29"</f>
        <v>1997-03-29</v>
      </c>
    </row>
    <row r="32" spans="1:4" ht="15.75" customHeight="1" x14ac:dyDescent="0.2">
      <c r="A32" s="2" t="s">
        <v>26</v>
      </c>
      <c r="B32" s="2" t="str">
        <f>"彭谦钦"</f>
        <v>彭谦钦</v>
      </c>
      <c r="C32" s="2" t="str">
        <f>"男"</f>
        <v>男</v>
      </c>
      <c r="D32" s="2" t="str">
        <f>"1995-09-19"</f>
        <v>1995-09-19</v>
      </c>
    </row>
    <row r="33" spans="1:4" ht="15.75" customHeight="1" x14ac:dyDescent="0.2">
      <c r="A33" s="2" t="s">
        <v>27</v>
      </c>
      <c r="B33" s="2" t="str">
        <f>"郑坪阳"</f>
        <v>郑坪阳</v>
      </c>
      <c r="C33" s="2" t="str">
        <f>"男"</f>
        <v>男</v>
      </c>
      <c r="D33" s="2" t="str">
        <f>"2000-02-08"</f>
        <v>2000-02-08</v>
      </c>
    </row>
    <row r="34" spans="1:4" ht="15.75" customHeight="1" x14ac:dyDescent="0.2">
      <c r="A34" s="2" t="s">
        <v>16</v>
      </c>
      <c r="B34" s="2" t="str">
        <f>"周鹏程"</f>
        <v>周鹏程</v>
      </c>
      <c r="C34" s="2" t="str">
        <f>"男"</f>
        <v>男</v>
      </c>
      <c r="D34" s="2" t="str">
        <f>"1993-08-08"</f>
        <v>1993-08-08</v>
      </c>
    </row>
    <row r="35" spans="1:4" ht="15.75" customHeight="1" x14ac:dyDescent="0.2">
      <c r="A35" s="2" t="s">
        <v>28</v>
      </c>
      <c r="B35" s="2" t="str">
        <f>"叶媛媛"</f>
        <v>叶媛媛</v>
      </c>
      <c r="C35" s="2" t="str">
        <f>"女"</f>
        <v>女</v>
      </c>
      <c r="D35" s="2" t="str">
        <f>"1995-03-23"</f>
        <v>1995-03-23</v>
      </c>
    </row>
    <row r="36" spans="1:4" ht="15.75" customHeight="1" x14ac:dyDescent="0.2">
      <c r="A36" s="2" t="s">
        <v>14</v>
      </c>
      <c r="B36" s="2" t="str">
        <f>"朱鑫涛"</f>
        <v>朱鑫涛</v>
      </c>
      <c r="C36" s="2" t="str">
        <f>"男"</f>
        <v>男</v>
      </c>
      <c r="D36" s="2" t="str">
        <f>"1998-05-10"</f>
        <v>1998-05-10</v>
      </c>
    </row>
    <row r="37" spans="1:4" ht="15.75" customHeight="1" x14ac:dyDescent="0.2">
      <c r="A37" s="2" t="s">
        <v>22</v>
      </c>
      <c r="B37" s="2" t="str">
        <f>"刘煜冰"</f>
        <v>刘煜冰</v>
      </c>
      <c r="C37" s="2" t="str">
        <f>"女"</f>
        <v>女</v>
      </c>
      <c r="D37" s="2" t="str">
        <f>"1998-03-19"</f>
        <v>1998-03-19</v>
      </c>
    </row>
    <row r="38" spans="1:4" ht="15.75" customHeight="1" x14ac:dyDescent="0.2">
      <c r="A38" s="2" t="s">
        <v>14</v>
      </c>
      <c r="B38" s="2" t="str">
        <f>"袁奇"</f>
        <v>袁奇</v>
      </c>
      <c r="C38" s="2" t="str">
        <f>"男"</f>
        <v>男</v>
      </c>
      <c r="D38" s="2" t="str">
        <f>"1988-08-02"</f>
        <v>1988-08-02</v>
      </c>
    </row>
    <row r="39" spans="1:4" ht="15.75" customHeight="1" x14ac:dyDescent="0.2">
      <c r="A39" s="2" t="s">
        <v>29</v>
      </c>
      <c r="B39" s="2" t="str">
        <f>"李思妮"</f>
        <v>李思妮</v>
      </c>
      <c r="C39" s="2" t="str">
        <f>"女"</f>
        <v>女</v>
      </c>
      <c r="D39" s="2" t="str">
        <f>"1998-08-27"</f>
        <v>1998-08-27</v>
      </c>
    </row>
    <row r="40" spans="1:4" ht="15.75" customHeight="1" x14ac:dyDescent="0.2">
      <c r="A40" s="2" t="s">
        <v>30</v>
      </c>
      <c r="B40" s="2" t="str">
        <f>"郭宇虬"</f>
        <v>郭宇虬</v>
      </c>
      <c r="C40" s="2" t="str">
        <f>"男"</f>
        <v>男</v>
      </c>
      <c r="D40" s="2" t="str">
        <f>"1992-10-22"</f>
        <v>1992-10-22</v>
      </c>
    </row>
    <row r="41" spans="1:4" ht="15.75" customHeight="1" x14ac:dyDescent="0.2">
      <c r="A41" s="2" t="s">
        <v>31</v>
      </c>
      <c r="B41" s="2" t="str">
        <f>"黄婧帆"</f>
        <v>黄婧帆</v>
      </c>
      <c r="C41" s="2" t="str">
        <f>"女"</f>
        <v>女</v>
      </c>
      <c r="D41" s="2" t="str">
        <f>"1986-04-30"</f>
        <v>1986-04-30</v>
      </c>
    </row>
    <row r="42" spans="1:4" ht="15.75" customHeight="1" x14ac:dyDescent="0.2">
      <c r="A42" s="2" t="s">
        <v>32</v>
      </c>
      <c r="B42" s="2" t="str">
        <f>"杨送文"</f>
        <v>杨送文</v>
      </c>
      <c r="C42" s="2" t="str">
        <f>"男"</f>
        <v>男</v>
      </c>
      <c r="D42" s="2" t="str">
        <f>"1994-07-17"</f>
        <v>1994-07-17</v>
      </c>
    </row>
    <row r="43" spans="1:4" ht="15.75" customHeight="1" x14ac:dyDescent="0.2">
      <c r="A43" s="2" t="s">
        <v>20</v>
      </c>
      <c r="B43" s="2" t="str">
        <f>"向新招"</f>
        <v>向新招</v>
      </c>
      <c r="C43" s="2" t="str">
        <f>"男"</f>
        <v>男</v>
      </c>
      <c r="D43" s="2" t="str">
        <f>"1997-09-05"</f>
        <v>1997-09-05</v>
      </c>
    </row>
    <row r="44" spans="1:4" ht="15.75" customHeight="1" x14ac:dyDescent="0.2">
      <c r="A44" s="2" t="s">
        <v>4</v>
      </c>
      <c r="B44" s="2" t="str">
        <f>"陆洋"</f>
        <v>陆洋</v>
      </c>
      <c r="C44" s="2" t="str">
        <f>"男"</f>
        <v>男</v>
      </c>
      <c r="D44" s="2" t="str">
        <f>"1989-01-03"</f>
        <v>1989-01-03</v>
      </c>
    </row>
    <row r="45" spans="1:4" ht="15.75" customHeight="1" x14ac:dyDescent="0.2">
      <c r="A45" s="2" t="s">
        <v>24</v>
      </c>
      <c r="B45" s="2" t="str">
        <f>"黄梦怡"</f>
        <v>黄梦怡</v>
      </c>
      <c r="C45" s="2" t="str">
        <f>"女"</f>
        <v>女</v>
      </c>
      <c r="D45" s="2" t="str">
        <f>"1997-07-26"</f>
        <v>1997-07-26</v>
      </c>
    </row>
    <row r="46" spans="1:4" ht="15.75" customHeight="1" x14ac:dyDescent="0.2">
      <c r="A46" s="2" t="s">
        <v>9</v>
      </c>
      <c r="B46" s="2" t="str">
        <f>"甘武君"</f>
        <v>甘武君</v>
      </c>
      <c r="C46" s="2" t="str">
        <f>"男"</f>
        <v>男</v>
      </c>
      <c r="D46" s="2" t="str">
        <f>"1987-11-18"</f>
        <v>1987-11-18</v>
      </c>
    </row>
    <row r="47" spans="1:4" ht="15.75" customHeight="1" x14ac:dyDescent="0.2">
      <c r="A47" s="2" t="s">
        <v>14</v>
      </c>
      <c r="B47" s="2" t="str">
        <f>"莫道坪"</f>
        <v>莫道坪</v>
      </c>
      <c r="C47" s="2" t="str">
        <f>"男"</f>
        <v>男</v>
      </c>
      <c r="D47" s="2" t="str">
        <f>"1994-02-12"</f>
        <v>1994-02-12</v>
      </c>
    </row>
    <row r="48" spans="1:4" ht="15.75" customHeight="1" x14ac:dyDescent="0.2">
      <c r="A48" s="2" t="s">
        <v>33</v>
      </c>
      <c r="B48" s="2" t="str">
        <f>"陆映丞"</f>
        <v>陆映丞</v>
      </c>
      <c r="C48" s="2" t="str">
        <f>"男"</f>
        <v>男</v>
      </c>
      <c r="D48" s="2" t="str">
        <f>"1988-08-23"</f>
        <v>1988-08-23</v>
      </c>
    </row>
    <row r="49" spans="1:4" ht="15.75" customHeight="1" x14ac:dyDescent="0.2">
      <c r="A49" s="2" t="s">
        <v>13</v>
      </c>
      <c r="B49" s="2" t="str">
        <f>"蔡冰镐"</f>
        <v>蔡冰镐</v>
      </c>
      <c r="C49" s="2" t="str">
        <f>"男"</f>
        <v>男</v>
      </c>
      <c r="D49" s="2" t="str">
        <f>"1998-03-26"</f>
        <v>1998-03-26</v>
      </c>
    </row>
    <row r="50" spans="1:4" ht="15.75" customHeight="1" x14ac:dyDescent="0.2">
      <c r="A50" s="2" t="s">
        <v>24</v>
      </c>
      <c r="B50" s="2" t="str">
        <f>"余冰"</f>
        <v>余冰</v>
      </c>
      <c r="C50" s="2" t="str">
        <f>"女"</f>
        <v>女</v>
      </c>
      <c r="D50" s="2" t="str">
        <f>"1986-11-17"</f>
        <v>1986-11-17</v>
      </c>
    </row>
    <row r="51" spans="1:4" ht="15.75" customHeight="1" x14ac:dyDescent="0.2">
      <c r="A51" s="2" t="s">
        <v>30</v>
      </c>
      <c r="B51" s="2" t="str">
        <f>"谭军"</f>
        <v>谭军</v>
      </c>
      <c r="C51" s="2" t="str">
        <f>"男"</f>
        <v>男</v>
      </c>
      <c r="D51" s="2" t="str">
        <f>"1987-11-10"</f>
        <v>1987-11-10</v>
      </c>
    </row>
    <row r="52" spans="1:4" ht="15.75" customHeight="1" x14ac:dyDescent="0.2">
      <c r="A52" s="2" t="s">
        <v>16</v>
      </c>
      <c r="B52" s="2" t="str">
        <f>"李能鑫"</f>
        <v>李能鑫</v>
      </c>
      <c r="C52" s="2" t="str">
        <f>"女"</f>
        <v>女</v>
      </c>
      <c r="D52" s="2" t="str">
        <f>"1998-08-20"</f>
        <v>1998-08-20</v>
      </c>
    </row>
    <row r="53" spans="1:4" ht="15.75" customHeight="1" x14ac:dyDescent="0.2">
      <c r="A53" s="2" t="s">
        <v>34</v>
      </c>
      <c r="B53" s="2" t="str">
        <f>"熊皓琛"</f>
        <v>熊皓琛</v>
      </c>
      <c r="C53" s="2" t="str">
        <f>"男"</f>
        <v>男</v>
      </c>
      <c r="D53" s="2" t="str">
        <f>"1995-02-12"</f>
        <v>1995-02-12</v>
      </c>
    </row>
    <row r="54" spans="1:4" ht="15.75" customHeight="1" x14ac:dyDescent="0.2">
      <c r="A54" s="2" t="s">
        <v>34</v>
      </c>
      <c r="B54" s="2" t="str">
        <f>"张豪"</f>
        <v>张豪</v>
      </c>
      <c r="C54" s="2" t="str">
        <f>"男"</f>
        <v>男</v>
      </c>
      <c r="D54" s="2" t="str">
        <f>"1996-12-08"</f>
        <v>1996-12-08</v>
      </c>
    </row>
    <row r="55" spans="1:4" ht="15.75" customHeight="1" x14ac:dyDescent="0.2">
      <c r="A55" s="2" t="s">
        <v>8</v>
      </c>
      <c r="B55" s="2" t="str">
        <f>"毛佳"</f>
        <v>毛佳</v>
      </c>
      <c r="C55" s="2" t="str">
        <f>"女"</f>
        <v>女</v>
      </c>
      <c r="D55" s="2" t="str">
        <f>"1998-07-20"</f>
        <v>1998-07-20</v>
      </c>
    </row>
    <row r="56" spans="1:4" ht="15.75" customHeight="1" x14ac:dyDescent="0.2">
      <c r="A56" s="2" t="s">
        <v>23</v>
      </c>
      <c r="B56" s="2" t="str">
        <f>"彭一明"</f>
        <v>彭一明</v>
      </c>
      <c r="C56" s="2" t="str">
        <f>"男"</f>
        <v>男</v>
      </c>
      <c r="D56" s="2" t="str">
        <f>"2001-03-03"</f>
        <v>2001-03-03</v>
      </c>
    </row>
    <row r="57" spans="1:4" ht="15.75" customHeight="1" x14ac:dyDescent="0.2">
      <c r="A57" s="2" t="s">
        <v>14</v>
      </c>
      <c r="B57" s="2" t="str">
        <f>"唐亚婷"</f>
        <v>唐亚婷</v>
      </c>
      <c r="C57" s="2" t="str">
        <f>"女"</f>
        <v>女</v>
      </c>
      <c r="D57" s="2" t="str">
        <f>"1996-03-05"</f>
        <v>1996-03-05</v>
      </c>
    </row>
    <row r="58" spans="1:4" ht="15.75" customHeight="1" x14ac:dyDescent="0.2">
      <c r="A58" s="2" t="s">
        <v>35</v>
      </c>
      <c r="B58" s="2" t="str">
        <f>"唐翰麒"</f>
        <v>唐翰麒</v>
      </c>
      <c r="C58" s="2" t="str">
        <f>"男"</f>
        <v>男</v>
      </c>
      <c r="D58" s="2" t="str">
        <f>"1997-10-04"</f>
        <v>1997-10-04</v>
      </c>
    </row>
    <row r="59" spans="1:4" ht="15.75" customHeight="1" x14ac:dyDescent="0.2">
      <c r="A59" s="2" t="s">
        <v>36</v>
      </c>
      <c r="B59" s="2" t="str">
        <f>"殷梓桐"</f>
        <v>殷梓桐</v>
      </c>
      <c r="C59" s="2" t="str">
        <f>"女"</f>
        <v>女</v>
      </c>
      <c r="D59" s="2" t="str">
        <f>"1996-04-28"</f>
        <v>1996-04-28</v>
      </c>
    </row>
    <row r="60" spans="1:4" ht="15.75" customHeight="1" x14ac:dyDescent="0.2">
      <c r="A60" s="2" t="s">
        <v>13</v>
      </c>
      <c r="B60" s="2" t="str">
        <f>"唐炜琦"</f>
        <v>唐炜琦</v>
      </c>
      <c r="C60" s="2" t="str">
        <f>"女"</f>
        <v>女</v>
      </c>
      <c r="D60" s="2" t="str">
        <f>"1995-06-02"</f>
        <v>1995-06-02</v>
      </c>
    </row>
    <row r="61" spans="1:4" ht="15.75" customHeight="1" x14ac:dyDescent="0.2">
      <c r="A61" s="2" t="s">
        <v>17</v>
      </c>
      <c r="B61" s="2" t="str">
        <f>"刘一"</f>
        <v>刘一</v>
      </c>
      <c r="C61" s="2" t="str">
        <f>"男"</f>
        <v>男</v>
      </c>
      <c r="D61" s="2" t="str">
        <f>"1993-12-29"</f>
        <v>1993-12-29</v>
      </c>
    </row>
    <row r="62" spans="1:4" ht="15.75" customHeight="1" x14ac:dyDescent="0.2">
      <c r="A62" s="2" t="s">
        <v>37</v>
      </c>
      <c r="B62" s="2" t="str">
        <f>"陈林"</f>
        <v>陈林</v>
      </c>
      <c r="C62" s="2" t="str">
        <f>"男"</f>
        <v>男</v>
      </c>
      <c r="D62" s="2" t="str">
        <f>"1998-02-05"</f>
        <v>1998-02-05</v>
      </c>
    </row>
    <row r="63" spans="1:4" ht="15.75" customHeight="1" x14ac:dyDescent="0.2">
      <c r="A63" s="2" t="s">
        <v>36</v>
      </c>
      <c r="B63" s="2" t="str">
        <f>"伍小童"</f>
        <v>伍小童</v>
      </c>
      <c r="C63" s="2" t="str">
        <f>"女"</f>
        <v>女</v>
      </c>
      <c r="D63" s="2" t="str">
        <f>"1995-12-05"</f>
        <v>1995-12-05</v>
      </c>
    </row>
    <row r="64" spans="1:4" ht="15.75" customHeight="1" x14ac:dyDescent="0.2">
      <c r="A64" s="2" t="s">
        <v>28</v>
      </c>
      <c r="B64" s="2" t="str">
        <f>"陈宏洋"</f>
        <v>陈宏洋</v>
      </c>
      <c r="C64" s="2" t="str">
        <f>"男"</f>
        <v>男</v>
      </c>
      <c r="D64" s="2" t="str">
        <f>"1992-08-02"</f>
        <v>1992-08-02</v>
      </c>
    </row>
    <row r="65" spans="1:4" ht="15.75" customHeight="1" x14ac:dyDescent="0.2">
      <c r="A65" s="2" t="s">
        <v>11</v>
      </c>
      <c r="B65" s="2" t="str">
        <f>"陈安桥"</f>
        <v>陈安桥</v>
      </c>
      <c r="C65" s="2" t="str">
        <f>"男"</f>
        <v>男</v>
      </c>
      <c r="D65" s="2" t="str">
        <f>"1996-08-27"</f>
        <v>1996-08-27</v>
      </c>
    </row>
    <row r="66" spans="1:4" ht="15.75" customHeight="1" x14ac:dyDescent="0.2">
      <c r="A66" s="2" t="s">
        <v>38</v>
      </c>
      <c r="B66" s="2" t="str">
        <f>"庹勇航"</f>
        <v>庹勇航</v>
      </c>
      <c r="C66" s="2" t="str">
        <f>"男"</f>
        <v>男</v>
      </c>
      <c r="D66" s="2" t="str">
        <f>"1993-01-31"</f>
        <v>1993-01-31</v>
      </c>
    </row>
    <row r="67" spans="1:4" ht="15.75" customHeight="1" x14ac:dyDescent="0.2">
      <c r="A67" s="2" t="s">
        <v>39</v>
      </c>
      <c r="B67" s="2" t="str">
        <f>"许衡"</f>
        <v>许衡</v>
      </c>
      <c r="C67" s="2" t="str">
        <f>"男"</f>
        <v>男</v>
      </c>
      <c r="D67" s="2" t="str">
        <f>"1991-08-29"</f>
        <v>1991-08-29</v>
      </c>
    </row>
    <row r="68" spans="1:4" ht="15.75" customHeight="1" x14ac:dyDescent="0.2">
      <c r="A68" s="2" t="s">
        <v>36</v>
      </c>
      <c r="B68" s="2" t="str">
        <f>"黄兰瑶"</f>
        <v>黄兰瑶</v>
      </c>
      <c r="C68" s="2" t="str">
        <f>"女"</f>
        <v>女</v>
      </c>
      <c r="D68" s="2" t="str">
        <f>"1998-11-25"</f>
        <v>1998-11-25</v>
      </c>
    </row>
    <row r="69" spans="1:4" ht="15.75" customHeight="1" x14ac:dyDescent="0.2">
      <c r="A69" s="2" t="s">
        <v>8</v>
      </c>
      <c r="B69" s="2" t="str">
        <f>"李次彬"</f>
        <v>李次彬</v>
      </c>
      <c r="C69" s="2" t="str">
        <f>"男"</f>
        <v>男</v>
      </c>
      <c r="D69" s="2" t="str">
        <f>"1990-05-20"</f>
        <v>1990-05-20</v>
      </c>
    </row>
    <row r="70" spans="1:4" ht="15.75" customHeight="1" x14ac:dyDescent="0.2">
      <c r="A70" s="2" t="s">
        <v>14</v>
      </c>
      <c r="B70" s="2" t="str">
        <f>"胡祖鸣"</f>
        <v>胡祖鸣</v>
      </c>
      <c r="C70" s="2" t="str">
        <f>"男"</f>
        <v>男</v>
      </c>
      <c r="D70" s="2" t="str">
        <f>"1998-05-31"</f>
        <v>1998-05-31</v>
      </c>
    </row>
    <row r="71" spans="1:4" ht="15.75" customHeight="1" x14ac:dyDescent="0.2">
      <c r="A71" s="2" t="s">
        <v>40</v>
      </c>
      <c r="B71" s="2" t="str">
        <f>"张晨"</f>
        <v>张晨</v>
      </c>
      <c r="C71" s="2" t="str">
        <f>"女"</f>
        <v>女</v>
      </c>
      <c r="D71" s="2" t="str">
        <f>"1992-06-09"</f>
        <v>1992-06-09</v>
      </c>
    </row>
    <row r="72" spans="1:4" ht="15.75" customHeight="1" x14ac:dyDescent="0.2">
      <c r="A72" s="2" t="s">
        <v>24</v>
      </c>
      <c r="B72" s="2" t="str">
        <f>"刘厚良"</f>
        <v>刘厚良</v>
      </c>
      <c r="C72" s="2" t="str">
        <f>"男"</f>
        <v>男</v>
      </c>
      <c r="D72" s="2" t="str">
        <f>"1998-02-26"</f>
        <v>1998-02-26</v>
      </c>
    </row>
    <row r="73" spans="1:4" ht="15.75" customHeight="1" x14ac:dyDescent="0.2">
      <c r="A73" s="2" t="s">
        <v>22</v>
      </c>
      <c r="B73" s="2" t="str">
        <f>"郑萍萍"</f>
        <v>郑萍萍</v>
      </c>
      <c r="C73" s="2" t="str">
        <f t="shared" ref="C73:C78" si="0">"女"</f>
        <v>女</v>
      </c>
      <c r="D73" s="2" t="str">
        <f>"1998-12-02"</f>
        <v>1998-12-02</v>
      </c>
    </row>
    <row r="74" spans="1:4" ht="15.75" customHeight="1" x14ac:dyDescent="0.2">
      <c r="A74" s="2" t="s">
        <v>24</v>
      </c>
      <c r="B74" s="2" t="str">
        <f>"任晓霞"</f>
        <v>任晓霞</v>
      </c>
      <c r="C74" s="2" t="str">
        <f t="shared" si="0"/>
        <v>女</v>
      </c>
      <c r="D74" s="2" t="str">
        <f>"1988-10-17"</f>
        <v>1988-10-17</v>
      </c>
    </row>
    <row r="75" spans="1:4" ht="15.75" customHeight="1" x14ac:dyDescent="0.2">
      <c r="A75" s="2" t="s">
        <v>41</v>
      </c>
      <c r="B75" s="2" t="str">
        <f>"胡心雨"</f>
        <v>胡心雨</v>
      </c>
      <c r="C75" s="2" t="str">
        <f t="shared" si="0"/>
        <v>女</v>
      </c>
      <c r="D75" s="2" t="str">
        <f>"1998-09-13"</f>
        <v>1998-09-13</v>
      </c>
    </row>
    <row r="76" spans="1:4" ht="15.75" customHeight="1" x14ac:dyDescent="0.2">
      <c r="A76" s="2" t="s">
        <v>42</v>
      </c>
      <c r="B76" s="2" t="str">
        <f>"张靖婉"</f>
        <v>张靖婉</v>
      </c>
      <c r="C76" s="2" t="str">
        <f t="shared" si="0"/>
        <v>女</v>
      </c>
      <c r="D76" s="2" t="str">
        <f>"1987-06-21"</f>
        <v>1987-06-21</v>
      </c>
    </row>
    <row r="77" spans="1:4" ht="15.75" customHeight="1" x14ac:dyDescent="0.2">
      <c r="A77" s="2" t="s">
        <v>31</v>
      </c>
      <c r="B77" s="2" t="str">
        <f>"张晶萍"</f>
        <v>张晶萍</v>
      </c>
      <c r="C77" s="2" t="str">
        <f t="shared" si="0"/>
        <v>女</v>
      </c>
      <c r="D77" s="2" t="str">
        <f>"1986-12-02"</f>
        <v>1986-12-02</v>
      </c>
    </row>
    <row r="78" spans="1:4" ht="15.75" customHeight="1" x14ac:dyDescent="0.2">
      <c r="A78" s="2" t="s">
        <v>43</v>
      </c>
      <c r="B78" s="2" t="str">
        <f>"王文洁"</f>
        <v>王文洁</v>
      </c>
      <c r="C78" s="2" t="str">
        <f t="shared" si="0"/>
        <v>女</v>
      </c>
      <c r="D78" s="2" t="str">
        <f>"1991-02-14"</f>
        <v>1991-02-14</v>
      </c>
    </row>
    <row r="79" spans="1:4" ht="15.75" customHeight="1" x14ac:dyDescent="0.2">
      <c r="A79" s="2" t="s">
        <v>33</v>
      </c>
      <c r="B79" s="2" t="str">
        <f>"崔烜"</f>
        <v>崔烜</v>
      </c>
      <c r="C79" s="2" t="str">
        <f>"男"</f>
        <v>男</v>
      </c>
      <c r="D79" s="2" t="str">
        <f>"1993-01-13"</f>
        <v>1993-01-13</v>
      </c>
    </row>
    <row r="80" spans="1:4" ht="15.75" customHeight="1" x14ac:dyDescent="0.2">
      <c r="A80" s="2" t="s">
        <v>44</v>
      </c>
      <c r="B80" s="2" t="str">
        <f>"涂姣姣"</f>
        <v>涂姣姣</v>
      </c>
      <c r="C80" s="2" t="str">
        <f>"女"</f>
        <v>女</v>
      </c>
      <c r="D80" s="2" t="str">
        <f>"1989-12-07"</f>
        <v>1989-12-07</v>
      </c>
    </row>
    <row r="81" spans="1:4" ht="15.75" customHeight="1" x14ac:dyDescent="0.2">
      <c r="A81" s="2" t="s">
        <v>19</v>
      </c>
      <c r="B81" s="2" t="str">
        <f>"黄莉达"</f>
        <v>黄莉达</v>
      </c>
      <c r="C81" s="2" t="str">
        <f>"男"</f>
        <v>男</v>
      </c>
      <c r="D81" s="2" t="str">
        <f>"1991-09-05"</f>
        <v>1991-09-05</v>
      </c>
    </row>
    <row r="82" spans="1:4" ht="15.75" customHeight="1" x14ac:dyDescent="0.2">
      <c r="A82" s="2" t="s">
        <v>13</v>
      </c>
      <c r="B82" s="2" t="str">
        <f>"鲁盼"</f>
        <v>鲁盼</v>
      </c>
      <c r="C82" s="2" t="str">
        <f>"男"</f>
        <v>男</v>
      </c>
      <c r="D82" s="2" t="str">
        <f>"1988-10-13"</f>
        <v>1988-10-13</v>
      </c>
    </row>
    <row r="83" spans="1:4" ht="15.75" customHeight="1" x14ac:dyDescent="0.2">
      <c r="A83" s="2" t="s">
        <v>45</v>
      </c>
      <c r="B83" s="2" t="str">
        <f>"刘连康"</f>
        <v>刘连康</v>
      </c>
      <c r="C83" s="2" t="str">
        <f>"男"</f>
        <v>男</v>
      </c>
      <c r="D83" s="2" t="str">
        <f>"1996-04-01"</f>
        <v>1996-04-01</v>
      </c>
    </row>
    <row r="84" spans="1:4" ht="15.75" customHeight="1" x14ac:dyDescent="0.2">
      <c r="A84" s="2" t="s">
        <v>41</v>
      </c>
      <c r="B84" s="2" t="str">
        <f>"应文俊"</f>
        <v>应文俊</v>
      </c>
      <c r="C84" s="2" t="str">
        <f>"男"</f>
        <v>男</v>
      </c>
      <c r="D84" s="2" t="str">
        <f>"1997-10-13"</f>
        <v>1997-10-13</v>
      </c>
    </row>
    <row r="85" spans="1:4" ht="15.75" customHeight="1" x14ac:dyDescent="0.2">
      <c r="A85" s="2" t="s">
        <v>46</v>
      </c>
      <c r="B85" s="2" t="str">
        <f>"卓超红"</f>
        <v>卓超红</v>
      </c>
      <c r="C85" s="2" t="str">
        <f>"女"</f>
        <v>女</v>
      </c>
      <c r="D85" s="2" t="str">
        <f>"1998-07-14"</f>
        <v>1998-07-14</v>
      </c>
    </row>
    <row r="86" spans="1:4" ht="15.75" customHeight="1" x14ac:dyDescent="0.2">
      <c r="A86" s="2" t="s">
        <v>8</v>
      </c>
      <c r="B86" s="2" t="str">
        <f>"严颖"</f>
        <v>严颖</v>
      </c>
      <c r="C86" s="2" t="str">
        <f>"女"</f>
        <v>女</v>
      </c>
      <c r="D86" s="2" t="str">
        <f>"1997-10-23"</f>
        <v>1997-10-23</v>
      </c>
    </row>
    <row r="87" spans="1:4" ht="15.75" customHeight="1" x14ac:dyDescent="0.2">
      <c r="A87" s="2" t="s">
        <v>13</v>
      </c>
      <c r="B87" s="2" t="str">
        <f>"李晚馨"</f>
        <v>李晚馨</v>
      </c>
      <c r="C87" s="2" t="str">
        <f>"女"</f>
        <v>女</v>
      </c>
      <c r="D87" s="2" t="str">
        <f>"2000-02-12"</f>
        <v>2000-02-12</v>
      </c>
    </row>
    <row r="88" spans="1:4" ht="15.75" customHeight="1" x14ac:dyDescent="0.2">
      <c r="A88" s="2" t="s">
        <v>40</v>
      </c>
      <c r="B88" s="2" t="str">
        <f>"龚玉涛"</f>
        <v>龚玉涛</v>
      </c>
      <c r="C88" s="2" t="str">
        <f>"男"</f>
        <v>男</v>
      </c>
      <c r="D88" s="2" t="str">
        <f>"1997-01-21"</f>
        <v>1997-01-21</v>
      </c>
    </row>
    <row r="89" spans="1:4" ht="15.75" customHeight="1" x14ac:dyDescent="0.2">
      <c r="A89" s="2" t="s">
        <v>47</v>
      </c>
      <c r="B89" s="2" t="str">
        <f>"印杰"</f>
        <v>印杰</v>
      </c>
      <c r="C89" s="2" t="str">
        <f>"男"</f>
        <v>男</v>
      </c>
      <c r="D89" s="2" t="str">
        <f>"1996-10-05"</f>
        <v>1996-10-05</v>
      </c>
    </row>
    <row r="90" spans="1:4" ht="15.75" customHeight="1" x14ac:dyDescent="0.2">
      <c r="A90" s="2" t="s">
        <v>24</v>
      </c>
      <c r="B90" s="2" t="str">
        <f>"贺云蕾"</f>
        <v>贺云蕾</v>
      </c>
      <c r="C90" s="2" t="str">
        <f>"女"</f>
        <v>女</v>
      </c>
      <c r="D90" s="2" t="str">
        <f>"1990-06-22"</f>
        <v>1990-06-22</v>
      </c>
    </row>
    <row r="91" spans="1:4" ht="15.75" customHeight="1" x14ac:dyDescent="0.2">
      <c r="A91" s="2" t="s">
        <v>35</v>
      </c>
      <c r="B91" s="2" t="str">
        <f>"许静文"</f>
        <v>许静文</v>
      </c>
      <c r="C91" s="2" t="str">
        <f>"女"</f>
        <v>女</v>
      </c>
      <c r="D91" s="2" t="str">
        <f>"1994-12-22"</f>
        <v>1994-12-22</v>
      </c>
    </row>
    <row r="92" spans="1:4" ht="15.75" customHeight="1" x14ac:dyDescent="0.2">
      <c r="A92" s="2" t="s">
        <v>13</v>
      </c>
      <c r="B92" s="2" t="str">
        <f>"王承东"</f>
        <v>王承东</v>
      </c>
      <c r="C92" s="2" t="str">
        <f>"男"</f>
        <v>男</v>
      </c>
      <c r="D92" s="2" t="str">
        <f>"1992-12-07"</f>
        <v>1992-12-07</v>
      </c>
    </row>
    <row r="93" spans="1:4" ht="15.75" customHeight="1" x14ac:dyDescent="0.2">
      <c r="A93" s="2" t="s">
        <v>48</v>
      </c>
      <c r="B93" s="2" t="str">
        <f>"袁淑蕾"</f>
        <v>袁淑蕾</v>
      </c>
      <c r="C93" s="2" t="str">
        <f>"女"</f>
        <v>女</v>
      </c>
      <c r="D93" s="2" t="str">
        <f>"1986-02-02"</f>
        <v>1986-02-02</v>
      </c>
    </row>
    <row r="94" spans="1:4" ht="15.75" customHeight="1" x14ac:dyDescent="0.2">
      <c r="A94" s="2" t="s">
        <v>37</v>
      </c>
      <c r="B94" s="2" t="str">
        <f>"杨益权"</f>
        <v>杨益权</v>
      </c>
      <c r="C94" s="2" t="str">
        <f>"男"</f>
        <v>男</v>
      </c>
      <c r="D94" s="2" t="str">
        <f>"1996-11-27"</f>
        <v>1996-11-27</v>
      </c>
    </row>
    <row r="95" spans="1:4" ht="15.75" customHeight="1" x14ac:dyDescent="0.2">
      <c r="A95" s="2" t="s">
        <v>36</v>
      </c>
      <c r="B95" s="2" t="str">
        <f>"张栋才"</f>
        <v>张栋才</v>
      </c>
      <c r="C95" s="2" t="str">
        <f>"男"</f>
        <v>男</v>
      </c>
      <c r="D95" s="2" t="str">
        <f>"1999-01-27"</f>
        <v>1999-01-27</v>
      </c>
    </row>
    <row r="96" spans="1:4" ht="15.75" customHeight="1" x14ac:dyDescent="0.2">
      <c r="A96" s="2" t="s">
        <v>35</v>
      </c>
      <c r="B96" s="2" t="str">
        <f>"鲁严龙"</f>
        <v>鲁严龙</v>
      </c>
      <c r="C96" s="2" t="str">
        <f>"男"</f>
        <v>男</v>
      </c>
      <c r="D96" s="2" t="str">
        <f>"1994-03-24"</f>
        <v>1994-03-24</v>
      </c>
    </row>
    <row r="97" spans="1:4" ht="15.75" customHeight="1" x14ac:dyDescent="0.2">
      <c r="A97" s="2" t="s">
        <v>10</v>
      </c>
      <c r="B97" s="2" t="str">
        <f>"文雨萍"</f>
        <v>文雨萍</v>
      </c>
      <c r="C97" s="2" t="str">
        <f>"女"</f>
        <v>女</v>
      </c>
      <c r="D97" s="2" t="str">
        <f>"1998-11-21"</f>
        <v>1998-11-21</v>
      </c>
    </row>
    <row r="98" spans="1:4" ht="15.75" customHeight="1" x14ac:dyDescent="0.2">
      <c r="A98" s="2" t="s">
        <v>14</v>
      </c>
      <c r="B98" s="2" t="str">
        <f>"樊明杨"</f>
        <v>樊明杨</v>
      </c>
      <c r="C98" s="2" t="str">
        <f>"女"</f>
        <v>女</v>
      </c>
      <c r="D98" s="2" t="str">
        <f>"2000-09-24"</f>
        <v>2000-09-24</v>
      </c>
    </row>
    <row r="99" spans="1:4" ht="15.75" customHeight="1" x14ac:dyDescent="0.2">
      <c r="A99" s="2" t="s">
        <v>49</v>
      </c>
      <c r="B99" s="2" t="str">
        <f>"王一格"</f>
        <v>王一格</v>
      </c>
      <c r="C99" s="2" t="str">
        <f>"女"</f>
        <v>女</v>
      </c>
      <c r="D99" s="2" t="str">
        <f>"1999-06-25"</f>
        <v>1999-06-25</v>
      </c>
    </row>
    <row r="100" spans="1:4" ht="15.75" customHeight="1" x14ac:dyDescent="0.2">
      <c r="A100" s="2" t="s">
        <v>40</v>
      </c>
      <c r="B100" s="2" t="str">
        <f>"黄舒蕾"</f>
        <v>黄舒蕾</v>
      </c>
      <c r="C100" s="2" t="str">
        <f>"女"</f>
        <v>女</v>
      </c>
      <c r="D100" s="2" t="str">
        <f>"2000-07-03"</f>
        <v>2000-07-03</v>
      </c>
    </row>
    <row r="101" spans="1:4" ht="15.75" customHeight="1" x14ac:dyDescent="0.2">
      <c r="A101" s="2" t="s">
        <v>39</v>
      </c>
      <c r="B101" s="2" t="str">
        <f>"唐珍珍"</f>
        <v>唐珍珍</v>
      </c>
      <c r="C101" s="2" t="str">
        <f>"女"</f>
        <v>女</v>
      </c>
      <c r="D101" s="2" t="str">
        <f>"1990-01-19"</f>
        <v>1990-01-19</v>
      </c>
    </row>
    <row r="102" spans="1:4" ht="15.75" customHeight="1" x14ac:dyDescent="0.2">
      <c r="A102" s="2" t="s">
        <v>14</v>
      </c>
      <c r="B102" s="2" t="str">
        <f>"邱欣"</f>
        <v>邱欣</v>
      </c>
      <c r="C102" s="2" t="str">
        <f>"男"</f>
        <v>男</v>
      </c>
      <c r="D102" s="2" t="str">
        <f>"1995-12-20"</f>
        <v>1995-12-20</v>
      </c>
    </row>
    <row r="103" spans="1:4" ht="15.75" customHeight="1" x14ac:dyDescent="0.2">
      <c r="A103" s="2" t="s">
        <v>8</v>
      </c>
      <c r="B103" s="2" t="str">
        <f>"喻讯"</f>
        <v>喻讯</v>
      </c>
      <c r="C103" s="2" t="str">
        <f>"男"</f>
        <v>男</v>
      </c>
      <c r="D103" s="2" t="str">
        <f>"1991-05-06"</f>
        <v>1991-05-06</v>
      </c>
    </row>
    <row r="104" spans="1:4" ht="15.75" customHeight="1" x14ac:dyDescent="0.2">
      <c r="A104" s="2" t="s">
        <v>5</v>
      </c>
      <c r="B104" s="2" t="str">
        <f>"骆松"</f>
        <v>骆松</v>
      </c>
      <c r="C104" s="2" t="str">
        <f>"男"</f>
        <v>男</v>
      </c>
      <c r="D104" s="2" t="str">
        <f>"1996-09-06"</f>
        <v>1996-09-06</v>
      </c>
    </row>
    <row r="105" spans="1:4" ht="15.75" customHeight="1" x14ac:dyDescent="0.2">
      <c r="A105" s="2" t="s">
        <v>14</v>
      </c>
      <c r="B105" s="2" t="str">
        <f>"龚金燕"</f>
        <v>龚金燕</v>
      </c>
      <c r="C105" s="2" t="str">
        <f>"女"</f>
        <v>女</v>
      </c>
      <c r="D105" s="2" t="str">
        <f>"1998-05-22"</f>
        <v>1998-05-22</v>
      </c>
    </row>
    <row r="106" spans="1:4" ht="15.75" customHeight="1" x14ac:dyDescent="0.2">
      <c r="A106" s="2" t="s">
        <v>12</v>
      </c>
      <c r="B106" s="2" t="str">
        <f>"王宇乾"</f>
        <v>王宇乾</v>
      </c>
      <c r="C106" s="2" t="str">
        <f>"男"</f>
        <v>男</v>
      </c>
      <c r="D106" s="2" t="str">
        <f>"1990-09-24"</f>
        <v>1990-09-24</v>
      </c>
    </row>
    <row r="107" spans="1:4" ht="15.75" customHeight="1" x14ac:dyDescent="0.2">
      <c r="A107" s="2" t="s">
        <v>8</v>
      </c>
      <c r="B107" s="2" t="str">
        <f>"沈若芸"</f>
        <v>沈若芸</v>
      </c>
      <c r="C107" s="2" t="str">
        <f>"女"</f>
        <v>女</v>
      </c>
      <c r="D107" s="2" t="str">
        <f>"1998-10-18"</f>
        <v>1998-10-18</v>
      </c>
    </row>
    <row r="108" spans="1:4" ht="15.75" customHeight="1" x14ac:dyDescent="0.2">
      <c r="A108" s="2" t="s">
        <v>50</v>
      </c>
      <c r="B108" s="2" t="str">
        <f>"李婧"</f>
        <v>李婧</v>
      </c>
      <c r="C108" s="2" t="str">
        <f>"女"</f>
        <v>女</v>
      </c>
      <c r="D108" s="2" t="str">
        <f>"2000-11-26"</f>
        <v>2000-11-26</v>
      </c>
    </row>
    <row r="109" spans="1:4" ht="15.75" customHeight="1" x14ac:dyDescent="0.2">
      <c r="A109" s="2" t="s">
        <v>13</v>
      </c>
      <c r="B109" s="2" t="str">
        <f>"刘帆"</f>
        <v>刘帆</v>
      </c>
      <c r="C109" s="2" t="str">
        <f>"男"</f>
        <v>男</v>
      </c>
      <c r="D109" s="2" t="str">
        <f>"1986-10-08"</f>
        <v>1986-10-08</v>
      </c>
    </row>
    <row r="110" spans="1:4" ht="15.75" customHeight="1" x14ac:dyDescent="0.2">
      <c r="A110" s="2" t="s">
        <v>25</v>
      </c>
      <c r="B110" s="2" t="str">
        <f>"江易"</f>
        <v>江易</v>
      </c>
      <c r="C110" s="2" t="str">
        <f>"男"</f>
        <v>男</v>
      </c>
      <c r="D110" s="2" t="str">
        <f>"1996-01-11"</f>
        <v>1996-01-11</v>
      </c>
    </row>
    <row r="111" spans="1:4" ht="15.75" customHeight="1" x14ac:dyDescent="0.2">
      <c r="A111" s="2" t="s">
        <v>22</v>
      </c>
      <c r="B111" s="2" t="str">
        <f>"陈彦宏"</f>
        <v>陈彦宏</v>
      </c>
      <c r="C111" s="2" t="str">
        <f>"女"</f>
        <v>女</v>
      </c>
      <c r="D111" s="2" t="str">
        <f>"1991-12-08"</f>
        <v>1991-12-08</v>
      </c>
    </row>
    <row r="112" spans="1:4" ht="15.75" customHeight="1" x14ac:dyDescent="0.2">
      <c r="A112" s="2" t="s">
        <v>51</v>
      </c>
      <c r="B112" s="2" t="str">
        <f>"王妮芳"</f>
        <v>王妮芳</v>
      </c>
      <c r="C112" s="2" t="str">
        <f>"女"</f>
        <v>女</v>
      </c>
      <c r="D112" s="2" t="str">
        <f>"1995-09-19"</f>
        <v>1995-09-19</v>
      </c>
    </row>
    <row r="113" spans="1:4" ht="15.75" customHeight="1" x14ac:dyDescent="0.2">
      <c r="A113" s="2" t="s">
        <v>8</v>
      </c>
      <c r="B113" s="2" t="str">
        <f>"蔡润杰"</f>
        <v>蔡润杰</v>
      </c>
      <c r="C113" s="2" t="str">
        <f t="shared" ref="C113:C118" si="1">"男"</f>
        <v>男</v>
      </c>
      <c r="D113" s="2" t="str">
        <f>"1998-07-12"</f>
        <v>1998-07-12</v>
      </c>
    </row>
    <row r="114" spans="1:4" ht="15.75" customHeight="1" x14ac:dyDescent="0.2">
      <c r="A114" s="2" t="s">
        <v>23</v>
      </c>
      <c r="B114" s="2" t="str">
        <f>"刘赞"</f>
        <v>刘赞</v>
      </c>
      <c r="C114" s="2" t="str">
        <f t="shared" si="1"/>
        <v>男</v>
      </c>
      <c r="D114" s="2" t="str">
        <f>"1997-01-08"</f>
        <v>1997-01-08</v>
      </c>
    </row>
    <row r="115" spans="1:4" ht="15.75" customHeight="1" x14ac:dyDescent="0.2">
      <c r="A115" s="2" t="s">
        <v>8</v>
      </c>
      <c r="B115" s="2" t="str">
        <f>"毛鑫淼"</f>
        <v>毛鑫淼</v>
      </c>
      <c r="C115" s="2" t="str">
        <f t="shared" si="1"/>
        <v>男</v>
      </c>
      <c r="D115" s="2" t="str">
        <f>"1993-02-26"</f>
        <v>1993-02-26</v>
      </c>
    </row>
    <row r="116" spans="1:4" ht="15.75" customHeight="1" x14ac:dyDescent="0.2">
      <c r="A116" s="2" t="s">
        <v>24</v>
      </c>
      <c r="B116" s="2" t="str">
        <f>"曾凡义"</f>
        <v>曾凡义</v>
      </c>
      <c r="C116" s="2" t="str">
        <f t="shared" si="1"/>
        <v>男</v>
      </c>
      <c r="D116" s="2" t="str">
        <f>"1990-12-01"</f>
        <v>1990-12-01</v>
      </c>
    </row>
    <row r="117" spans="1:4" ht="15.75" customHeight="1" x14ac:dyDescent="0.2">
      <c r="A117" s="2" t="s">
        <v>52</v>
      </c>
      <c r="B117" s="2" t="str">
        <f>"符琪士"</f>
        <v>符琪士</v>
      </c>
      <c r="C117" s="2" t="str">
        <f t="shared" si="1"/>
        <v>男</v>
      </c>
      <c r="D117" s="2" t="str">
        <f>"1992-01-14"</f>
        <v>1992-01-14</v>
      </c>
    </row>
    <row r="118" spans="1:4" ht="15.75" customHeight="1" x14ac:dyDescent="0.2">
      <c r="A118" s="2" t="s">
        <v>37</v>
      </c>
      <c r="B118" s="2" t="str">
        <f>"张勇"</f>
        <v>张勇</v>
      </c>
      <c r="C118" s="2" t="str">
        <f t="shared" si="1"/>
        <v>男</v>
      </c>
      <c r="D118" s="2" t="str">
        <f>"1992-11-15"</f>
        <v>1992-11-15</v>
      </c>
    </row>
    <row r="119" spans="1:4" ht="15.75" customHeight="1" x14ac:dyDescent="0.2">
      <c r="A119" s="2" t="s">
        <v>14</v>
      </c>
      <c r="B119" s="2" t="str">
        <f>"刘艳芳"</f>
        <v>刘艳芳</v>
      </c>
      <c r="C119" s="2" t="str">
        <f>"女"</f>
        <v>女</v>
      </c>
      <c r="D119" s="2" t="str">
        <f>"1988-09-21"</f>
        <v>1988-09-21</v>
      </c>
    </row>
    <row r="120" spans="1:4" ht="15.75" customHeight="1" x14ac:dyDescent="0.2">
      <c r="A120" s="2" t="s">
        <v>53</v>
      </c>
      <c r="B120" s="2" t="str">
        <f>"朱捷"</f>
        <v>朱捷</v>
      </c>
      <c r="C120" s="2" t="str">
        <f>"男"</f>
        <v>男</v>
      </c>
      <c r="D120" s="2" t="str">
        <f>"1995-03-17"</f>
        <v>1995-03-17</v>
      </c>
    </row>
    <row r="121" spans="1:4" ht="15.75" customHeight="1" x14ac:dyDescent="0.2">
      <c r="A121" s="2" t="s">
        <v>14</v>
      </c>
      <c r="B121" s="2" t="str">
        <f>"曾怡静"</f>
        <v>曾怡静</v>
      </c>
      <c r="C121" s="2" t="str">
        <f>"女"</f>
        <v>女</v>
      </c>
      <c r="D121" s="2" t="str">
        <f>"1992-05-07"</f>
        <v>1992-05-07</v>
      </c>
    </row>
    <row r="122" spans="1:4" ht="15.75" customHeight="1" x14ac:dyDescent="0.2">
      <c r="A122" s="2" t="s">
        <v>8</v>
      </c>
      <c r="B122" s="2" t="str">
        <f>"贺星毓"</f>
        <v>贺星毓</v>
      </c>
      <c r="C122" s="2" t="str">
        <f>"男"</f>
        <v>男</v>
      </c>
      <c r="D122" s="2" t="str">
        <f>"1996-07-12"</f>
        <v>1996-07-12</v>
      </c>
    </row>
    <row r="123" spans="1:4" ht="15.75" customHeight="1" x14ac:dyDescent="0.2">
      <c r="A123" s="2" t="s">
        <v>44</v>
      </c>
      <c r="B123" s="2" t="str">
        <f>"毛旻"</f>
        <v>毛旻</v>
      </c>
      <c r="C123" s="2" t="str">
        <f>"女"</f>
        <v>女</v>
      </c>
      <c r="D123" s="2" t="str">
        <f>"1995-08-14"</f>
        <v>1995-08-14</v>
      </c>
    </row>
    <row r="124" spans="1:4" ht="15.75" customHeight="1" x14ac:dyDescent="0.2">
      <c r="A124" s="2" t="s">
        <v>26</v>
      </c>
      <c r="B124" s="2" t="str">
        <f>"唐留铭"</f>
        <v>唐留铭</v>
      </c>
      <c r="C124" s="2" t="str">
        <f>"男"</f>
        <v>男</v>
      </c>
      <c r="D124" s="2" t="str">
        <f>"1995-01-10"</f>
        <v>1995-01-10</v>
      </c>
    </row>
    <row r="125" spans="1:4" ht="15.75" customHeight="1" x14ac:dyDescent="0.2">
      <c r="A125" s="2" t="s">
        <v>24</v>
      </c>
      <c r="B125" s="2" t="str">
        <f>"梁铭"</f>
        <v>梁铭</v>
      </c>
      <c r="C125" s="2" t="str">
        <f>"男"</f>
        <v>男</v>
      </c>
      <c r="D125" s="2" t="str">
        <f>"1990-02-28"</f>
        <v>1990-02-28</v>
      </c>
    </row>
    <row r="126" spans="1:4" ht="15.75" customHeight="1" x14ac:dyDescent="0.2">
      <c r="A126" s="2" t="s">
        <v>13</v>
      </c>
      <c r="B126" s="2" t="str">
        <f>"雷明涛"</f>
        <v>雷明涛</v>
      </c>
      <c r="C126" s="2" t="str">
        <f>"男"</f>
        <v>男</v>
      </c>
      <c r="D126" s="2" t="str">
        <f>"1990-10-22"</f>
        <v>1990-10-22</v>
      </c>
    </row>
    <row r="127" spans="1:4" ht="15.75" customHeight="1" x14ac:dyDescent="0.2">
      <c r="A127" s="2" t="s">
        <v>8</v>
      </c>
      <c r="B127" s="2" t="str">
        <f>"唐湘南"</f>
        <v>唐湘南</v>
      </c>
      <c r="C127" s="2" t="str">
        <f>"女"</f>
        <v>女</v>
      </c>
      <c r="D127" s="2" t="str">
        <f>"1998-01-01"</f>
        <v>1998-01-01</v>
      </c>
    </row>
    <row r="128" spans="1:4" ht="15.75" customHeight="1" x14ac:dyDescent="0.2">
      <c r="A128" s="2" t="s">
        <v>24</v>
      </c>
      <c r="B128" s="2" t="str">
        <f>"王立"</f>
        <v>王立</v>
      </c>
      <c r="C128" s="2" t="str">
        <f>"男"</f>
        <v>男</v>
      </c>
      <c r="D128" s="2" t="str">
        <f>"1994-07-12"</f>
        <v>1994-07-12</v>
      </c>
    </row>
    <row r="129" spans="1:4" ht="15.75" customHeight="1" x14ac:dyDescent="0.2">
      <c r="A129" s="2" t="s">
        <v>54</v>
      </c>
      <c r="B129" s="2" t="str">
        <f>"赵子啸"</f>
        <v>赵子啸</v>
      </c>
      <c r="C129" s="2" t="str">
        <f>"男"</f>
        <v>男</v>
      </c>
      <c r="D129" s="2" t="str">
        <f>"1998-10-28"</f>
        <v>1998-10-28</v>
      </c>
    </row>
    <row r="130" spans="1:4" ht="15.75" customHeight="1" x14ac:dyDescent="0.2">
      <c r="A130" s="2" t="s">
        <v>40</v>
      </c>
      <c r="B130" s="2" t="str">
        <f>"黄婷"</f>
        <v>黄婷</v>
      </c>
      <c r="C130" s="2" t="str">
        <f>"女"</f>
        <v>女</v>
      </c>
      <c r="D130" s="2" t="str">
        <f>"1998-03-06"</f>
        <v>1998-03-06</v>
      </c>
    </row>
    <row r="131" spans="1:4" ht="15.75" customHeight="1" x14ac:dyDescent="0.2">
      <c r="A131" s="2" t="s">
        <v>14</v>
      </c>
      <c r="B131" s="2" t="str">
        <f>"刘晋豪"</f>
        <v>刘晋豪</v>
      </c>
      <c r="C131" s="2" t="str">
        <f>"男"</f>
        <v>男</v>
      </c>
      <c r="D131" s="2" t="str">
        <f>"1996-07-17"</f>
        <v>1996-07-17</v>
      </c>
    </row>
    <row r="132" spans="1:4" ht="15.75" customHeight="1" x14ac:dyDescent="0.2">
      <c r="A132" s="2" t="s">
        <v>23</v>
      </c>
      <c r="B132" s="2" t="str">
        <f>"庞纪文"</f>
        <v>庞纪文</v>
      </c>
      <c r="C132" s="2" t="str">
        <f>"男"</f>
        <v>男</v>
      </c>
      <c r="D132" s="2" t="str">
        <f>"2000-08-06"</f>
        <v>2000-08-06</v>
      </c>
    </row>
    <row r="133" spans="1:4" ht="15.75" customHeight="1" x14ac:dyDescent="0.2">
      <c r="A133" s="2" t="s">
        <v>37</v>
      </c>
      <c r="B133" s="2" t="str">
        <f>"张清泉"</f>
        <v>张清泉</v>
      </c>
      <c r="C133" s="2" t="str">
        <f>"男"</f>
        <v>男</v>
      </c>
      <c r="D133" s="2" t="str">
        <f>"1998-05-24"</f>
        <v>1998-05-24</v>
      </c>
    </row>
    <row r="134" spans="1:4" ht="15.75" customHeight="1" x14ac:dyDescent="0.2">
      <c r="A134" s="2" t="s">
        <v>55</v>
      </c>
      <c r="B134" s="2" t="str">
        <f>"胡芳"</f>
        <v>胡芳</v>
      </c>
      <c r="C134" s="2" t="str">
        <f>"女"</f>
        <v>女</v>
      </c>
      <c r="D134" s="2" t="str">
        <f>"1998-07-03"</f>
        <v>1998-07-03</v>
      </c>
    </row>
    <row r="135" spans="1:4" ht="15.75" customHeight="1" x14ac:dyDescent="0.2">
      <c r="A135" s="2" t="s">
        <v>8</v>
      </c>
      <c r="B135" s="2" t="str">
        <f>"唐煦雯"</f>
        <v>唐煦雯</v>
      </c>
      <c r="C135" s="2" t="str">
        <f>"女"</f>
        <v>女</v>
      </c>
      <c r="D135" s="2" t="str">
        <f>"1997-03-13"</f>
        <v>1997-03-13</v>
      </c>
    </row>
    <row r="136" spans="1:4" ht="15.75" customHeight="1" x14ac:dyDescent="0.2">
      <c r="A136" s="2" t="s">
        <v>31</v>
      </c>
      <c r="B136" s="2" t="str">
        <f>"罗容"</f>
        <v>罗容</v>
      </c>
      <c r="C136" s="2" t="str">
        <f>"女"</f>
        <v>女</v>
      </c>
      <c r="D136" s="2" t="str">
        <f>"1998-05-28"</f>
        <v>1998-05-28</v>
      </c>
    </row>
    <row r="137" spans="1:4" ht="15.75" customHeight="1" x14ac:dyDescent="0.2">
      <c r="A137" s="2" t="s">
        <v>36</v>
      </c>
      <c r="B137" s="2" t="str">
        <f>"龚勇"</f>
        <v>龚勇</v>
      </c>
      <c r="C137" s="2" t="str">
        <f>"男"</f>
        <v>男</v>
      </c>
      <c r="D137" s="2" t="str">
        <f>"1991-10-31"</f>
        <v>1991-10-31</v>
      </c>
    </row>
    <row r="138" spans="1:4" ht="15.75" customHeight="1" x14ac:dyDescent="0.2">
      <c r="A138" s="2" t="s">
        <v>17</v>
      </c>
      <c r="B138" s="2" t="str">
        <f>"袁菁"</f>
        <v>袁菁</v>
      </c>
      <c r="C138" s="2" t="str">
        <f>"男"</f>
        <v>男</v>
      </c>
      <c r="D138" s="2" t="str">
        <f>"1988-01-06"</f>
        <v>1988-01-06</v>
      </c>
    </row>
    <row r="139" spans="1:4" ht="15.75" customHeight="1" x14ac:dyDescent="0.2">
      <c r="A139" s="2" t="s">
        <v>14</v>
      </c>
      <c r="B139" s="2" t="str">
        <f>"黄雅琳"</f>
        <v>黄雅琳</v>
      </c>
      <c r="C139" s="2" t="str">
        <f>"女"</f>
        <v>女</v>
      </c>
      <c r="D139" s="2" t="str">
        <f>"1993-06-16"</f>
        <v>1993-06-16</v>
      </c>
    </row>
    <row r="140" spans="1:4" ht="15.75" customHeight="1" x14ac:dyDescent="0.2">
      <c r="A140" s="2" t="s">
        <v>41</v>
      </c>
      <c r="B140" s="2" t="str">
        <f>"孙健文"</f>
        <v>孙健文</v>
      </c>
      <c r="C140" s="2" t="str">
        <f>"男"</f>
        <v>男</v>
      </c>
      <c r="D140" s="2" t="str">
        <f>"1997-02-20"</f>
        <v>1997-02-20</v>
      </c>
    </row>
    <row r="141" spans="1:4" ht="15.75" customHeight="1" x14ac:dyDescent="0.2">
      <c r="A141" s="2" t="s">
        <v>43</v>
      </c>
      <c r="B141" s="2" t="str">
        <f>"李聪聪"</f>
        <v>李聪聪</v>
      </c>
      <c r="C141" s="2" t="str">
        <f>"男"</f>
        <v>男</v>
      </c>
      <c r="D141" s="2" t="str">
        <f>"1996-03-23"</f>
        <v>1996-03-23</v>
      </c>
    </row>
    <row r="142" spans="1:4" ht="15.75" customHeight="1" x14ac:dyDescent="0.2">
      <c r="A142" s="2" t="s">
        <v>13</v>
      </c>
      <c r="B142" s="2" t="str">
        <f>"周阳"</f>
        <v>周阳</v>
      </c>
      <c r="C142" s="2" t="str">
        <f>"男"</f>
        <v>男</v>
      </c>
      <c r="D142" s="2" t="str">
        <f>"1994-12-13"</f>
        <v>1994-12-13</v>
      </c>
    </row>
    <row r="143" spans="1:4" ht="15.75" customHeight="1" x14ac:dyDescent="0.2">
      <c r="A143" s="2" t="s">
        <v>46</v>
      </c>
      <c r="B143" s="2" t="str">
        <f>"易佩瑜"</f>
        <v>易佩瑜</v>
      </c>
      <c r="C143" s="2" t="str">
        <f>"女"</f>
        <v>女</v>
      </c>
      <c r="D143" s="2" t="str">
        <f>"1998-09-26"</f>
        <v>1998-09-26</v>
      </c>
    </row>
    <row r="144" spans="1:4" ht="15.75" customHeight="1" x14ac:dyDescent="0.2">
      <c r="A144" s="2" t="s">
        <v>56</v>
      </c>
      <c r="B144" s="2" t="str">
        <f>"陈梦珍"</f>
        <v>陈梦珍</v>
      </c>
      <c r="C144" s="2" t="str">
        <f>"女"</f>
        <v>女</v>
      </c>
      <c r="D144" s="2" t="str">
        <f>"1992-01-02"</f>
        <v>1992-01-02</v>
      </c>
    </row>
    <row r="145" spans="1:4" ht="15.75" customHeight="1" x14ac:dyDescent="0.2">
      <c r="A145" s="2" t="s">
        <v>31</v>
      </c>
      <c r="B145" s="2" t="str">
        <f>"杨典坤"</f>
        <v>杨典坤</v>
      </c>
      <c r="C145" s="2" t="str">
        <f>"男"</f>
        <v>男</v>
      </c>
      <c r="D145" s="2" t="str">
        <f>"1999-04-22"</f>
        <v>1999-04-22</v>
      </c>
    </row>
    <row r="146" spans="1:4" ht="15.75" customHeight="1" x14ac:dyDescent="0.2">
      <c r="A146" s="2" t="s">
        <v>30</v>
      </c>
      <c r="B146" s="2" t="str">
        <f>"叶清"</f>
        <v>叶清</v>
      </c>
      <c r="C146" s="2" t="str">
        <f>"女"</f>
        <v>女</v>
      </c>
      <c r="D146" s="2" t="str">
        <f>"1987-03-06"</f>
        <v>1987-03-06</v>
      </c>
    </row>
    <row r="147" spans="1:4" ht="15.75" customHeight="1" x14ac:dyDescent="0.2">
      <c r="A147" s="2" t="s">
        <v>36</v>
      </c>
      <c r="B147" s="2" t="str">
        <f>"王叔颖"</f>
        <v>王叔颖</v>
      </c>
      <c r="C147" s="2" t="str">
        <f>"女"</f>
        <v>女</v>
      </c>
      <c r="D147" s="2" t="str">
        <f>"1998-11-21"</f>
        <v>1998-11-21</v>
      </c>
    </row>
    <row r="148" spans="1:4" ht="15.75" customHeight="1" x14ac:dyDescent="0.2">
      <c r="A148" s="2" t="s">
        <v>13</v>
      </c>
      <c r="B148" s="2" t="str">
        <f>"阮王斌"</f>
        <v>阮王斌</v>
      </c>
      <c r="C148" s="2" t="str">
        <f>"男"</f>
        <v>男</v>
      </c>
      <c r="D148" s="2" t="str">
        <f>"1993-11-20"</f>
        <v>1993-11-20</v>
      </c>
    </row>
    <row r="149" spans="1:4" ht="15.75" customHeight="1" x14ac:dyDescent="0.2">
      <c r="A149" s="2" t="s">
        <v>57</v>
      </c>
      <c r="B149" s="2" t="str">
        <f>"余诗敏"</f>
        <v>余诗敏</v>
      </c>
      <c r="C149" s="2" t="str">
        <f>"女"</f>
        <v>女</v>
      </c>
      <c r="D149" s="2" t="str">
        <f>"1998-02-07"</f>
        <v>1998-02-07</v>
      </c>
    </row>
    <row r="150" spans="1:4" ht="15.75" customHeight="1" x14ac:dyDescent="0.2">
      <c r="A150" s="2" t="s">
        <v>27</v>
      </c>
      <c r="B150" s="2" t="str">
        <f>"田昊杨"</f>
        <v>田昊杨</v>
      </c>
      <c r="C150" s="2" t="str">
        <f>"男"</f>
        <v>男</v>
      </c>
      <c r="D150" s="2" t="str">
        <f>"1997-09-19"</f>
        <v>1997-09-19</v>
      </c>
    </row>
    <row r="151" spans="1:4" ht="15.75" customHeight="1" x14ac:dyDescent="0.2">
      <c r="A151" s="2" t="s">
        <v>19</v>
      </c>
      <c r="B151" s="2" t="str">
        <f>"李志杰"</f>
        <v>李志杰</v>
      </c>
      <c r="C151" s="2" t="str">
        <f>"男"</f>
        <v>男</v>
      </c>
      <c r="D151" s="2" t="str">
        <f>"1995-09-05"</f>
        <v>1995-09-05</v>
      </c>
    </row>
    <row r="152" spans="1:4" ht="15.75" customHeight="1" x14ac:dyDescent="0.2">
      <c r="A152" s="2" t="s">
        <v>45</v>
      </c>
      <c r="B152" s="2" t="str">
        <f>"熊涛"</f>
        <v>熊涛</v>
      </c>
      <c r="C152" s="2" t="str">
        <f>"男"</f>
        <v>男</v>
      </c>
      <c r="D152" s="2" t="str">
        <f>"1999-01-24"</f>
        <v>1999-01-24</v>
      </c>
    </row>
    <row r="153" spans="1:4" ht="15.75" customHeight="1" x14ac:dyDescent="0.2">
      <c r="A153" s="2" t="s">
        <v>23</v>
      </c>
      <c r="B153" s="2" t="str">
        <f>"张展铧"</f>
        <v>张展铧</v>
      </c>
      <c r="C153" s="2" t="str">
        <f>"男"</f>
        <v>男</v>
      </c>
      <c r="D153" s="2" t="str">
        <f>"1991-10-15"</f>
        <v>1991-10-15</v>
      </c>
    </row>
    <row r="154" spans="1:4" ht="15.75" customHeight="1" x14ac:dyDescent="0.2">
      <c r="A154" s="2" t="s">
        <v>17</v>
      </c>
      <c r="B154" s="2" t="str">
        <f>"刘越"</f>
        <v>刘越</v>
      </c>
      <c r="C154" s="2" t="str">
        <f>"男"</f>
        <v>男</v>
      </c>
      <c r="D154" s="2" t="str">
        <f>"1995-08-12"</f>
        <v>1995-08-12</v>
      </c>
    </row>
    <row r="155" spans="1:4" ht="15.75" customHeight="1" x14ac:dyDescent="0.2">
      <c r="A155" s="2" t="s">
        <v>58</v>
      </c>
      <c r="B155" s="2" t="str">
        <f>"鲁思君"</f>
        <v>鲁思君</v>
      </c>
      <c r="C155" s="2" t="str">
        <f>"女"</f>
        <v>女</v>
      </c>
      <c r="D155" s="2" t="str">
        <f>"1996-02-08"</f>
        <v>1996-02-08</v>
      </c>
    </row>
    <row r="156" spans="1:4" ht="15.75" customHeight="1" x14ac:dyDescent="0.2">
      <c r="A156" s="2" t="s">
        <v>8</v>
      </c>
      <c r="B156" s="2" t="str">
        <f>"周剑星"</f>
        <v>周剑星</v>
      </c>
      <c r="C156" s="2" t="str">
        <f>"男"</f>
        <v>男</v>
      </c>
      <c r="D156" s="2" t="str">
        <f>"1994-09-16"</f>
        <v>1994-09-16</v>
      </c>
    </row>
    <row r="157" spans="1:4" ht="15.75" customHeight="1" x14ac:dyDescent="0.2">
      <c r="A157" s="2" t="s">
        <v>8</v>
      </c>
      <c r="B157" s="2" t="str">
        <f>"吴秋菊"</f>
        <v>吴秋菊</v>
      </c>
      <c r="C157" s="2" t="str">
        <f>"女"</f>
        <v>女</v>
      </c>
      <c r="D157" s="2" t="str">
        <f>"1988-09-20"</f>
        <v>1988-09-20</v>
      </c>
    </row>
    <row r="158" spans="1:4" ht="15.75" customHeight="1" x14ac:dyDescent="0.2">
      <c r="A158" s="2" t="s">
        <v>16</v>
      </c>
      <c r="B158" s="2" t="str">
        <f>"王雪松"</f>
        <v>王雪松</v>
      </c>
      <c r="C158" s="2" t="str">
        <f>"男"</f>
        <v>男</v>
      </c>
      <c r="D158" s="2" t="str">
        <f>"1994-11-01"</f>
        <v>1994-11-01</v>
      </c>
    </row>
    <row r="159" spans="1:4" ht="15.75" customHeight="1" x14ac:dyDescent="0.2">
      <c r="A159" s="2" t="s">
        <v>37</v>
      </c>
      <c r="B159" s="2" t="str">
        <f>"周雄"</f>
        <v>周雄</v>
      </c>
      <c r="C159" s="2" t="str">
        <f>"男"</f>
        <v>男</v>
      </c>
      <c r="D159" s="2" t="str">
        <f>"1992-10-01"</f>
        <v>1992-10-01</v>
      </c>
    </row>
    <row r="160" spans="1:4" ht="15.75" customHeight="1" x14ac:dyDescent="0.2">
      <c r="A160" s="2" t="s">
        <v>41</v>
      </c>
      <c r="B160" s="2" t="str">
        <f>"唐子奇"</f>
        <v>唐子奇</v>
      </c>
      <c r="C160" s="2" t="str">
        <f>"女"</f>
        <v>女</v>
      </c>
      <c r="D160" s="2" t="str">
        <f>"1996-06-21"</f>
        <v>1996-06-21</v>
      </c>
    </row>
    <row r="161" spans="1:4" ht="15.75" customHeight="1" x14ac:dyDescent="0.2">
      <c r="A161" s="2" t="s">
        <v>28</v>
      </c>
      <c r="B161" s="2" t="str">
        <f>"李丽珊"</f>
        <v>李丽珊</v>
      </c>
      <c r="C161" s="2" t="str">
        <f>"女"</f>
        <v>女</v>
      </c>
      <c r="D161" s="2" t="str">
        <f>"1996-06-07"</f>
        <v>1996-06-07</v>
      </c>
    </row>
    <row r="162" spans="1:4" ht="15.75" customHeight="1" x14ac:dyDescent="0.2">
      <c r="A162" s="2" t="s">
        <v>22</v>
      </c>
      <c r="B162" s="2" t="str">
        <f>"徐蕾"</f>
        <v>徐蕾</v>
      </c>
      <c r="C162" s="2" t="str">
        <f>"女"</f>
        <v>女</v>
      </c>
      <c r="D162" s="2" t="str">
        <f>"1995-01-14"</f>
        <v>1995-01-14</v>
      </c>
    </row>
    <row r="163" spans="1:4" ht="15.75" customHeight="1" x14ac:dyDescent="0.2">
      <c r="A163" s="2" t="s">
        <v>55</v>
      </c>
      <c r="B163" s="2" t="str">
        <f>"陈熠"</f>
        <v>陈熠</v>
      </c>
      <c r="C163" s="2" t="str">
        <f>"男"</f>
        <v>男</v>
      </c>
      <c r="D163" s="2" t="str">
        <f>"1993-11-14"</f>
        <v>1993-11-14</v>
      </c>
    </row>
    <row r="164" spans="1:4" ht="15.75" customHeight="1" x14ac:dyDescent="0.2">
      <c r="A164" s="2" t="s">
        <v>40</v>
      </c>
      <c r="B164" s="2" t="str">
        <f>"贺光辉"</f>
        <v>贺光辉</v>
      </c>
      <c r="C164" s="2" t="str">
        <f>"女"</f>
        <v>女</v>
      </c>
      <c r="D164" s="2" t="str">
        <f>"1998-05-18"</f>
        <v>1998-05-18</v>
      </c>
    </row>
    <row r="165" spans="1:4" ht="15.75" customHeight="1" x14ac:dyDescent="0.2">
      <c r="A165" s="2" t="s">
        <v>59</v>
      </c>
      <c r="B165" s="2" t="str">
        <f>"欧雯"</f>
        <v>欧雯</v>
      </c>
      <c r="C165" s="2" t="str">
        <f>"女"</f>
        <v>女</v>
      </c>
      <c r="D165" s="2" t="str">
        <f>"1999-06-09"</f>
        <v>1999-06-09</v>
      </c>
    </row>
    <row r="166" spans="1:4" ht="15.75" customHeight="1" x14ac:dyDescent="0.2">
      <c r="A166" s="2" t="s">
        <v>14</v>
      </c>
      <c r="B166" s="2" t="str">
        <f>"张振华"</f>
        <v>张振华</v>
      </c>
      <c r="C166" s="2" t="str">
        <f>"男"</f>
        <v>男</v>
      </c>
      <c r="D166" s="2" t="str">
        <f>"1998-12-10"</f>
        <v>1998-12-10</v>
      </c>
    </row>
    <row r="167" spans="1:4" ht="15.75" customHeight="1" x14ac:dyDescent="0.2">
      <c r="A167" s="2" t="s">
        <v>46</v>
      </c>
      <c r="B167" s="2" t="str">
        <f>"粟翠"</f>
        <v>粟翠</v>
      </c>
      <c r="C167" s="2" t="str">
        <f>"女"</f>
        <v>女</v>
      </c>
      <c r="D167" s="2" t="str">
        <f>"1990-06-29"</f>
        <v>1990-06-29</v>
      </c>
    </row>
    <row r="168" spans="1:4" ht="15.75" customHeight="1" x14ac:dyDescent="0.2">
      <c r="A168" s="2" t="s">
        <v>54</v>
      </c>
      <c r="B168" s="2" t="str">
        <f>"江奕成"</f>
        <v>江奕成</v>
      </c>
      <c r="C168" s="2" t="str">
        <f>"男"</f>
        <v>男</v>
      </c>
      <c r="D168" s="2" t="str">
        <f>"1995-04-09"</f>
        <v>1995-04-09</v>
      </c>
    </row>
    <row r="169" spans="1:4" ht="15.75" customHeight="1" x14ac:dyDescent="0.2">
      <c r="A169" s="2" t="s">
        <v>29</v>
      </c>
      <c r="B169" s="2" t="str">
        <f>"黄文"</f>
        <v>黄文</v>
      </c>
      <c r="C169" s="2" t="str">
        <f>"男"</f>
        <v>男</v>
      </c>
      <c r="D169" s="2" t="str">
        <f>"1995-10-05"</f>
        <v>1995-10-05</v>
      </c>
    </row>
    <row r="170" spans="1:4" ht="15.75" customHeight="1" x14ac:dyDescent="0.2">
      <c r="A170" s="2" t="s">
        <v>17</v>
      </c>
      <c r="B170" s="2" t="str">
        <f>"曹村日"</f>
        <v>曹村日</v>
      </c>
      <c r="C170" s="2" t="str">
        <f>"男"</f>
        <v>男</v>
      </c>
      <c r="D170" s="2" t="str">
        <f>"1995-01-18"</f>
        <v>1995-01-18</v>
      </c>
    </row>
    <row r="171" spans="1:4" ht="15.75" customHeight="1" x14ac:dyDescent="0.2">
      <c r="A171" s="2" t="s">
        <v>42</v>
      </c>
      <c r="B171" s="2" t="str">
        <f>"刘颖"</f>
        <v>刘颖</v>
      </c>
      <c r="C171" s="2" t="str">
        <f>"女"</f>
        <v>女</v>
      </c>
      <c r="D171" s="2" t="str">
        <f>"1993-10-12"</f>
        <v>1993-10-12</v>
      </c>
    </row>
    <row r="172" spans="1:4" ht="15.75" customHeight="1" x14ac:dyDescent="0.2">
      <c r="A172" s="2" t="s">
        <v>14</v>
      </c>
      <c r="B172" s="2" t="str">
        <f>"肖腾燕"</f>
        <v>肖腾燕</v>
      </c>
      <c r="C172" s="2" t="str">
        <f>"女"</f>
        <v>女</v>
      </c>
      <c r="D172" s="2" t="str">
        <f>"1995-12-18"</f>
        <v>1995-12-18</v>
      </c>
    </row>
    <row r="173" spans="1:4" ht="15.75" customHeight="1" x14ac:dyDescent="0.2">
      <c r="A173" s="2" t="s">
        <v>60</v>
      </c>
      <c r="B173" s="2" t="str">
        <f>"邵思颖"</f>
        <v>邵思颖</v>
      </c>
      <c r="C173" s="2" t="str">
        <f>"女"</f>
        <v>女</v>
      </c>
      <c r="D173" s="2" t="str">
        <f>"1998-07-04"</f>
        <v>1998-07-04</v>
      </c>
    </row>
    <row r="174" spans="1:4" ht="15.75" customHeight="1" x14ac:dyDescent="0.2">
      <c r="A174" s="2" t="s">
        <v>14</v>
      </c>
      <c r="B174" s="2" t="str">
        <f>"李成"</f>
        <v>李成</v>
      </c>
      <c r="C174" s="2" t="str">
        <f>"男"</f>
        <v>男</v>
      </c>
      <c r="D174" s="2" t="str">
        <f>"1987-07-11"</f>
        <v>1987-07-11</v>
      </c>
    </row>
    <row r="175" spans="1:4" ht="15.75" customHeight="1" x14ac:dyDescent="0.2">
      <c r="A175" s="2" t="s">
        <v>17</v>
      </c>
      <c r="B175" s="2" t="str">
        <f>"彭艺帆"</f>
        <v>彭艺帆</v>
      </c>
      <c r="C175" s="2" t="str">
        <f>"女"</f>
        <v>女</v>
      </c>
      <c r="D175" s="2" t="str">
        <f>"1993-09-10"</f>
        <v>1993-09-10</v>
      </c>
    </row>
    <row r="176" spans="1:4" ht="15.75" customHeight="1" x14ac:dyDescent="0.2">
      <c r="A176" s="2" t="s">
        <v>46</v>
      </c>
      <c r="B176" s="2" t="str">
        <f>"谭琦"</f>
        <v>谭琦</v>
      </c>
      <c r="C176" s="2" t="str">
        <f>"女"</f>
        <v>女</v>
      </c>
      <c r="D176" s="2" t="str">
        <f>"1996-01-30"</f>
        <v>1996-01-30</v>
      </c>
    </row>
    <row r="177" spans="1:4" ht="15.75" customHeight="1" x14ac:dyDescent="0.2">
      <c r="A177" s="2" t="s">
        <v>17</v>
      </c>
      <c r="B177" s="2" t="str">
        <f>"胡汪毅"</f>
        <v>胡汪毅</v>
      </c>
      <c r="C177" s="2" t="str">
        <f>"男"</f>
        <v>男</v>
      </c>
      <c r="D177" s="2" t="str">
        <f>"1994-10-17"</f>
        <v>1994-10-17</v>
      </c>
    </row>
    <row r="178" spans="1:4" ht="15.75" customHeight="1" x14ac:dyDescent="0.2">
      <c r="A178" s="2" t="s">
        <v>27</v>
      </c>
      <c r="B178" s="2" t="str">
        <f>"路紫雲"</f>
        <v>路紫雲</v>
      </c>
      <c r="C178" s="2" t="str">
        <f>"女"</f>
        <v>女</v>
      </c>
      <c r="D178" s="2" t="str">
        <f>"1996-01-23"</f>
        <v>1996-01-23</v>
      </c>
    </row>
    <row r="179" spans="1:4" ht="15.75" customHeight="1" x14ac:dyDescent="0.2">
      <c r="A179" s="2" t="s">
        <v>14</v>
      </c>
      <c r="B179" s="2" t="str">
        <f>"向鑫蓉"</f>
        <v>向鑫蓉</v>
      </c>
      <c r="C179" s="2" t="str">
        <f>"女"</f>
        <v>女</v>
      </c>
      <c r="D179" s="2" t="str">
        <f>"2001-02-10"</f>
        <v>2001-02-10</v>
      </c>
    </row>
    <row r="180" spans="1:4" ht="15.75" customHeight="1" x14ac:dyDescent="0.2">
      <c r="A180" s="2" t="s">
        <v>14</v>
      </c>
      <c r="B180" s="2" t="str">
        <f>"张嘉丽"</f>
        <v>张嘉丽</v>
      </c>
      <c r="C180" s="2" t="str">
        <f>"女"</f>
        <v>女</v>
      </c>
      <c r="D180" s="2" t="str">
        <f>"1998-10-14"</f>
        <v>1998-10-14</v>
      </c>
    </row>
    <row r="181" spans="1:4" ht="15.75" customHeight="1" x14ac:dyDescent="0.2">
      <c r="A181" s="2" t="s">
        <v>13</v>
      </c>
      <c r="B181" s="2" t="str">
        <f>"郑强"</f>
        <v>郑强</v>
      </c>
      <c r="C181" s="2" t="str">
        <f>"男"</f>
        <v>男</v>
      </c>
      <c r="D181" s="2" t="str">
        <f>"1991-06-25"</f>
        <v>1991-06-25</v>
      </c>
    </row>
    <row r="182" spans="1:4" ht="15.75" customHeight="1" x14ac:dyDescent="0.2">
      <c r="A182" s="2" t="s">
        <v>23</v>
      </c>
      <c r="B182" s="2" t="str">
        <f>"胡清阳"</f>
        <v>胡清阳</v>
      </c>
      <c r="C182" s="2" t="str">
        <f>"男"</f>
        <v>男</v>
      </c>
      <c r="D182" s="2" t="str">
        <f>"1991-10-01"</f>
        <v>1991-10-01</v>
      </c>
    </row>
    <row r="183" spans="1:4" ht="15.75" customHeight="1" x14ac:dyDescent="0.2">
      <c r="A183" s="2" t="s">
        <v>41</v>
      </c>
      <c r="B183" s="2" t="str">
        <f>"李亚隆"</f>
        <v>李亚隆</v>
      </c>
      <c r="C183" s="2" t="str">
        <f>"男"</f>
        <v>男</v>
      </c>
      <c r="D183" s="2" t="str">
        <f>"1997-10-25"</f>
        <v>1997-10-25</v>
      </c>
    </row>
    <row r="184" spans="1:4" ht="15.75" customHeight="1" x14ac:dyDescent="0.2">
      <c r="A184" s="2" t="s">
        <v>61</v>
      </c>
      <c r="B184" s="2" t="str">
        <f>"凃宏旗"</f>
        <v>凃宏旗</v>
      </c>
      <c r="C184" s="2" t="str">
        <f>"男"</f>
        <v>男</v>
      </c>
      <c r="D184" s="2" t="str">
        <f>"1999-09-22"</f>
        <v>1999-09-22</v>
      </c>
    </row>
    <row r="185" spans="1:4" ht="15.75" customHeight="1" x14ac:dyDescent="0.2">
      <c r="A185" s="2" t="s">
        <v>14</v>
      </c>
      <c r="B185" s="2" t="str">
        <f>"曹方琼"</f>
        <v>曹方琼</v>
      </c>
      <c r="C185" s="2" t="str">
        <f>"女"</f>
        <v>女</v>
      </c>
      <c r="D185" s="2" t="str">
        <f>"1995-07-09"</f>
        <v>1995-07-09</v>
      </c>
    </row>
    <row r="186" spans="1:4" ht="15.75" customHeight="1" x14ac:dyDescent="0.2">
      <c r="A186" s="2" t="s">
        <v>44</v>
      </c>
      <c r="B186" s="2" t="str">
        <f>"谭伏书"</f>
        <v>谭伏书</v>
      </c>
      <c r="C186" s="2" t="str">
        <f>"男"</f>
        <v>男</v>
      </c>
      <c r="D186" s="2" t="str">
        <f>"1994-03-07"</f>
        <v>1994-03-07</v>
      </c>
    </row>
    <row r="187" spans="1:4" ht="15.75" customHeight="1" x14ac:dyDescent="0.2">
      <c r="A187" s="2" t="s">
        <v>29</v>
      </c>
      <c r="B187" s="2" t="str">
        <f>"贺子欯"</f>
        <v>贺子欯</v>
      </c>
      <c r="C187" s="2" t="str">
        <f>"女"</f>
        <v>女</v>
      </c>
      <c r="D187" s="2" t="str">
        <f>"1993-08-28"</f>
        <v>1993-08-28</v>
      </c>
    </row>
    <row r="188" spans="1:4" ht="15.75" customHeight="1" x14ac:dyDescent="0.2">
      <c r="A188" s="2" t="s">
        <v>53</v>
      </c>
      <c r="B188" s="2" t="str">
        <f>"陈志远"</f>
        <v>陈志远</v>
      </c>
      <c r="C188" s="2" t="str">
        <f>"男"</f>
        <v>男</v>
      </c>
      <c r="D188" s="2" t="str">
        <f>"1994-08-21"</f>
        <v>1994-08-21</v>
      </c>
    </row>
    <row r="189" spans="1:4" ht="15.75" customHeight="1" x14ac:dyDescent="0.2">
      <c r="A189" s="2" t="s">
        <v>31</v>
      </c>
      <c r="B189" s="2" t="str">
        <f>"徐苹梅"</f>
        <v>徐苹梅</v>
      </c>
      <c r="C189" s="2" t="str">
        <f>"女"</f>
        <v>女</v>
      </c>
      <c r="D189" s="2" t="str">
        <f>"1993-03-22"</f>
        <v>1993-03-22</v>
      </c>
    </row>
    <row r="190" spans="1:4" ht="15.75" customHeight="1" x14ac:dyDescent="0.2">
      <c r="A190" s="2" t="s">
        <v>16</v>
      </c>
      <c r="B190" s="2" t="str">
        <f>"张志敏"</f>
        <v>张志敏</v>
      </c>
      <c r="C190" s="2" t="str">
        <f>"男"</f>
        <v>男</v>
      </c>
      <c r="D190" s="2" t="str">
        <f>"1991-09-13"</f>
        <v>1991-09-13</v>
      </c>
    </row>
    <row r="191" spans="1:4" ht="15.75" customHeight="1" x14ac:dyDescent="0.2">
      <c r="A191" s="2" t="s">
        <v>18</v>
      </c>
      <c r="B191" s="2" t="str">
        <f>"江奕"</f>
        <v>江奕</v>
      </c>
      <c r="C191" s="2" t="str">
        <f>"女"</f>
        <v>女</v>
      </c>
      <c r="D191" s="2" t="str">
        <f>"1992-02-10"</f>
        <v>1992-02-10</v>
      </c>
    </row>
    <row r="192" spans="1:4" ht="15.75" customHeight="1" x14ac:dyDescent="0.2">
      <c r="A192" s="2" t="s">
        <v>13</v>
      </c>
      <c r="B192" s="2" t="str">
        <f>"李国林"</f>
        <v>李国林</v>
      </c>
      <c r="C192" s="2" t="str">
        <f>"女"</f>
        <v>女</v>
      </c>
      <c r="D192" s="2" t="str">
        <f>"1996-09-08"</f>
        <v>1996-09-08</v>
      </c>
    </row>
    <row r="193" spans="1:4" ht="15.75" customHeight="1" x14ac:dyDescent="0.2">
      <c r="A193" s="2" t="s">
        <v>37</v>
      </c>
      <c r="B193" s="2" t="str">
        <f>"肖利"</f>
        <v>肖利</v>
      </c>
      <c r="C193" s="2" t="str">
        <f>"女"</f>
        <v>女</v>
      </c>
      <c r="D193" s="2" t="str">
        <f>"1991-12-03"</f>
        <v>1991-12-03</v>
      </c>
    </row>
    <row r="194" spans="1:4" ht="15.75" customHeight="1" x14ac:dyDescent="0.2">
      <c r="A194" s="2" t="s">
        <v>25</v>
      </c>
      <c r="B194" s="2" t="str">
        <f>"曾丽华"</f>
        <v>曾丽华</v>
      </c>
      <c r="C194" s="2" t="str">
        <f>"女"</f>
        <v>女</v>
      </c>
      <c r="D194" s="2" t="str">
        <f>"1990-02-07"</f>
        <v>1990-02-07</v>
      </c>
    </row>
    <row r="195" spans="1:4" ht="15.75" customHeight="1" x14ac:dyDescent="0.2">
      <c r="A195" s="2" t="s">
        <v>14</v>
      </c>
      <c r="B195" s="2" t="str">
        <f>"张汤杰"</f>
        <v>张汤杰</v>
      </c>
      <c r="C195" s="2" t="str">
        <f>"男"</f>
        <v>男</v>
      </c>
      <c r="D195" s="2" t="str">
        <f>"1999-06-13"</f>
        <v>1999-06-13</v>
      </c>
    </row>
    <row r="196" spans="1:4" ht="15.75" customHeight="1" x14ac:dyDescent="0.2">
      <c r="A196" s="2" t="s">
        <v>14</v>
      </c>
      <c r="B196" s="2" t="str">
        <f>"陈红"</f>
        <v>陈红</v>
      </c>
      <c r="C196" s="2" t="str">
        <f>"女"</f>
        <v>女</v>
      </c>
      <c r="D196" s="2" t="str">
        <f>"1999-02-28"</f>
        <v>1999-02-28</v>
      </c>
    </row>
    <row r="197" spans="1:4" ht="15.75" customHeight="1" x14ac:dyDescent="0.2">
      <c r="A197" s="2" t="s">
        <v>32</v>
      </c>
      <c r="B197" s="2" t="str">
        <f>"庞宇岐"</f>
        <v>庞宇岐</v>
      </c>
      <c r="C197" s="2" t="str">
        <f>"男"</f>
        <v>男</v>
      </c>
      <c r="D197" s="2" t="str">
        <f>"1992-08-19"</f>
        <v>1992-08-19</v>
      </c>
    </row>
    <row r="198" spans="1:4" ht="15.75" customHeight="1" x14ac:dyDescent="0.2">
      <c r="A198" s="2" t="s">
        <v>42</v>
      </c>
      <c r="B198" s="2" t="str">
        <f>"李汀"</f>
        <v>李汀</v>
      </c>
      <c r="C198" s="2" t="str">
        <f>"女"</f>
        <v>女</v>
      </c>
      <c r="D198" s="2" t="str">
        <f>"1990-11-12"</f>
        <v>1990-11-12</v>
      </c>
    </row>
    <row r="199" spans="1:4" ht="15.75" customHeight="1" x14ac:dyDescent="0.2">
      <c r="A199" s="2" t="s">
        <v>40</v>
      </c>
      <c r="B199" s="2" t="str">
        <f>"汪子翔"</f>
        <v>汪子翔</v>
      </c>
      <c r="C199" s="2" t="str">
        <f>"男"</f>
        <v>男</v>
      </c>
      <c r="D199" s="2" t="str">
        <f>"1994-04-13"</f>
        <v>1994-04-13</v>
      </c>
    </row>
    <row r="200" spans="1:4" ht="15.75" customHeight="1" x14ac:dyDescent="0.2">
      <c r="A200" s="2" t="s">
        <v>29</v>
      </c>
      <c r="B200" s="2" t="str">
        <f>"田一之"</f>
        <v>田一之</v>
      </c>
      <c r="C200" s="2" t="str">
        <f>"男"</f>
        <v>男</v>
      </c>
      <c r="D200" s="2" t="str">
        <f>"1998-05-19"</f>
        <v>1998-05-19</v>
      </c>
    </row>
    <row r="201" spans="1:4" ht="15.75" customHeight="1" x14ac:dyDescent="0.2">
      <c r="A201" s="2" t="s">
        <v>14</v>
      </c>
      <c r="B201" s="2" t="str">
        <f>"曾婉婷"</f>
        <v>曾婉婷</v>
      </c>
      <c r="C201" s="2" t="str">
        <f>"女"</f>
        <v>女</v>
      </c>
      <c r="D201" s="2" t="str">
        <f>"1998-09-25"</f>
        <v>1998-09-25</v>
      </c>
    </row>
    <row r="202" spans="1:4" ht="15.75" customHeight="1" x14ac:dyDescent="0.2">
      <c r="A202" s="2" t="s">
        <v>24</v>
      </c>
      <c r="B202" s="2" t="str">
        <f>"覃弦"</f>
        <v>覃弦</v>
      </c>
      <c r="C202" s="2" t="str">
        <f>"女"</f>
        <v>女</v>
      </c>
      <c r="D202" s="2" t="str">
        <f>"1987-12-01"</f>
        <v>1987-12-01</v>
      </c>
    </row>
    <row r="203" spans="1:4" ht="15.75" customHeight="1" x14ac:dyDescent="0.2">
      <c r="A203" s="2" t="s">
        <v>18</v>
      </c>
      <c r="B203" s="2" t="str">
        <f>"龚翰文"</f>
        <v>龚翰文</v>
      </c>
      <c r="C203" s="2" t="str">
        <f>"女"</f>
        <v>女</v>
      </c>
      <c r="D203" s="2" t="str">
        <f>"1995-01-08"</f>
        <v>1995-01-08</v>
      </c>
    </row>
    <row r="204" spans="1:4" ht="15.75" customHeight="1" x14ac:dyDescent="0.2">
      <c r="A204" s="2" t="s">
        <v>37</v>
      </c>
      <c r="B204" s="2" t="str">
        <f>"夏辉"</f>
        <v>夏辉</v>
      </c>
      <c r="C204" s="2" t="str">
        <f>"男"</f>
        <v>男</v>
      </c>
      <c r="D204" s="2" t="str">
        <f>"1993-03-07"</f>
        <v>1993-03-07</v>
      </c>
    </row>
    <row r="205" spans="1:4" ht="15.75" customHeight="1" x14ac:dyDescent="0.2">
      <c r="A205" s="2" t="s">
        <v>14</v>
      </c>
      <c r="B205" s="2" t="str">
        <f>"颜诗宁"</f>
        <v>颜诗宁</v>
      </c>
      <c r="C205" s="2" t="str">
        <f>"男"</f>
        <v>男</v>
      </c>
      <c r="D205" s="2" t="str">
        <f>"2001-12-03"</f>
        <v>2001-12-03</v>
      </c>
    </row>
    <row r="206" spans="1:4" ht="15.75" customHeight="1" x14ac:dyDescent="0.2">
      <c r="A206" s="2" t="s">
        <v>36</v>
      </c>
      <c r="B206" s="2" t="str">
        <f>"李静"</f>
        <v>李静</v>
      </c>
      <c r="C206" s="2" t="str">
        <f>"女"</f>
        <v>女</v>
      </c>
      <c r="D206" s="2" t="str">
        <f>"1999-07-10"</f>
        <v>1999-07-10</v>
      </c>
    </row>
    <row r="207" spans="1:4" ht="15.75" customHeight="1" x14ac:dyDescent="0.2">
      <c r="A207" s="2" t="s">
        <v>21</v>
      </c>
      <c r="B207" s="2" t="str">
        <f>"陈银"</f>
        <v>陈银</v>
      </c>
      <c r="C207" s="2" t="str">
        <f>"女"</f>
        <v>女</v>
      </c>
      <c r="D207" s="2" t="str">
        <f>"1990-02-22"</f>
        <v>1990-02-22</v>
      </c>
    </row>
    <row r="208" spans="1:4" ht="15.75" customHeight="1" x14ac:dyDescent="0.2">
      <c r="A208" s="2" t="s">
        <v>62</v>
      </c>
      <c r="B208" s="2" t="str">
        <f>"龚康"</f>
        <v>龚康</v>
      </c>
      <c r="C208" s="2" t="str">
        <f>"男"</f>
        <v>男</v>
      </c>
      <c r="D208" s="2" t="str">
        <f>"1994-02-28"</f>
        <v>1994-02-28</v>
      </c>
    </row>
    <row r="209" spans="1:4" ht="15.75" customHeight="1" x14ac:dyDescent="0.2">
      <c r="A209" s="2" t="s">
        <v>5</v>
      </c>
      <c r="B209" s="2" t="str">
        <f>"张燕"</f>
        <v>张燕</v>
      </c>
      <c r="C209" s="2" t="str">
        <f t="shared" ref="C209:C216" si="2">"女"</f>
        <v>女</v>
      </c>
      <c r="D209" s="2" t="str">
        <f>"1991-03-15"</f>
        <v>1991-03-15</v>
      </c>
    </row>
    <row r="210" spans="1:4" ht="15.75" customHeight="1" x14ac:dyDescent="0.2">
      <c r="A210" s="2" t="s">
        <v>9</v>
      </c>
      <c r="B210" s="2" t="str">
        <f>"宁圆攀"</f>
        <v>宁圆攀</v>
      </c>
      <c r="C210" s="2" t="str">
        <f t="shared" si="2"/>
        <v>女</v>
      </c>
      <c r="D210" s="2" t="str">
        <f>"1997-05-07"</f>
        <v>1997-05-07</v>
      </c>
    </row>
    <row r="211" spans="1:4" ht="15.75" customHeight="1" x14ac:dyDescent="0.2">
      <c r="A211" s="2" t="s">
        <v>44</v>
      </c>
      <c r="B211" s="2" t="str">
        <f>"白寒冰"</f>
        <v>白寒冰</v>
      </c>
      <c r="C211" s="2" t="str">
        <f t="shared" si="2"/>
        <v>女</v>
      </c>
      <c r="D211" s="2" t="str">
        <f>"1997-05-28"</f>
        <v>1997-05-28</v>
      </c>
    </row>
    <row r="212" spans="1:4" ht="15.75" customHeight="1" x14ac:dyDescent="0.2">
      <c r="A212" s="2" t="s">
        <v>40</v>
      </c>
      <c r="B212" s="2" t="str">
        <f>"谭红"</f>
        <v>谭红</v>
      </c>
      <c r="C212" s="2" t="str">
        <f t="shared" si="2"/>
        <v>女</v>
      </c>
      <c r="D212" s="2" t="str">
        <f>"1994-01-21"</f>
        <v>1994-01-21</v>
      </c>
    </row>
    <row r="213" spans="1:4" ht="15.75" customHeight="1" x14ac:dyDescent="0.2">
      <c r="A213" s="2" t="s">
        <v>13</v>
      </c>
      <c r="B213" s="2" t="str">
        <f>"罗漫亭"</f>
        <v>罗漫亭</v>
      </c>
      <c r="C213" s="2" t="str">
        <f t="shared" si="2"/>
        <v>女</v>
      </c>
      <c r="D213" s="2" t="str">
        <f>"1998-05-08"</f>
        <v>1998-05-08</v>
      </c>
    </row>
    <row r="214" spans="1:4" ht="15.75" customHeight="1" x14ac:dyDescent="0.2">
      <c r="A214" s="2" t="s">
        <v>13</v>
      </c>
      <c r="B214" s="2" t="str">
        <f>"鲁杰"</f>
        <v>鲁杰</v>
      </c>
      <c r="C214" s="2" t="str">
        <f t="shared" si="2"/>
        <v>女</v>
      </c>
      <c r="D214" s="2" t="str">
        <f>"1993-04-09"</f>
        <v>1993-04-09</v>
      </c>
    </row>
    <row r="215" spans="1:4" ht="15.75" customHeight="1" x14ac:dyDescent="0.2">
      <c r="A215" s="2" t="s">
        <v>20</v>
      </c>
      <c r="B215" s="2" t="str">
        <f>"吴迪"</f>
        <v>吴迪</v>
      </c>
      <c r="C215" s="2" t="str">
        <f t="shared" si="2"/>
        <v>女</v>
      </c>
      <c r="D215" s="2" t="str">
        <f>"1995-08-10"</f>
        <v>1995-08-10</v>
      </c>
    </row>
    <row r="216" spans="1:4" ht="15.75" customHeight="1" x14ac:dyDescent="0.2">
      <c r="A216" s="2" t="s">
        <v>58</v>
      </c>
      <c r="B216" s="2" t="str">
        <f>"李静茹"</f>
        <v>李静茹</v>
      </c>
      <c r="C216" s="2" t="str">
        <f t="shared" si="2"/>
        <v>女</v>
      </c>
      <c r="D216" s="2" t="str">
        <f>"1997-05-24"</f>
        <v>1997-05-24</v>
      </c>
    </row>
    <row r="217" spans="1:4" ht="15.75" customHeight="1" x14ac:dyDescent="0.2">
      <c r="A217" s="2" t="s">
        <v>36</v>
      </c>
      <c r="B217" s="2" t="str">
        <f>"朱麒旭"</f>
        <v>朱麒旭</v>
      </c>
      <c r="C217" s="2" t="str">
        <f>"男"</f>
        <v>男</v>
      </c>
      <c r="D217" s="2" t="str">
        <f>"1999-08-08"</f>
        <v>1999-08-08</v>
      </c>
    </row>
    <row r="218" spans="1:4" ht="15.75" customHeight="1" x14ac:dyDescent="0.2">
      <c r="A218" s="2" t="s">
        <v>63</v>
      </c>
      <c r="B218" s="2" t="str">
        <f>"廖欣"</f>
        <v>廖欣</v>
      </c>
      <c r="C218" s="2" t="str">
        <f>"女"</f>
        <v>女</v>
      </c>
      <c r="D218" s="2" t="str">
        <f>"1996-07-11"</f>
        <v>1996-07-11</v>
      </c>
    </row>
    <row r="219" spans="1:4" ht="15.75" customHeight="1" x14ac:dyDescent="0.2">
      <c r="A219" s="2" t="s">
        <v>64</v>
      </c>
      <c r="B219" s="2" t="str">
        <f>"谭子轩"</f>
        <v>谭子轩</v>
      </c>
      <c r="C219" s="2" t="str">
        <f t="shared" ref="C219:C225" si="3">"男"</f>
        <v>男</v>
      </c>
      <c r="D219" s="2" t="str">
        <f>"1996-10-08"</f>
        <v>1996-10-08</v>
      </c>
    </row>
    <row r="220" spans="1:4" ht="15.75" customHeight="1" x14ac:dyDescent="0.2">
      <c r="A220" s="2" t="s">
        <v>16</v>
      </c>
      <c r="B220" s="2" t="str">
        <f>"李一帆"</f>
        <v>李一帆</v>
      </c>
      <c r="C220" s="2" t="str">
        <f t="shared" si="3"/>
        <v>男</v>
      </c>
      <c r="D220" s="2" t="str">
        <f>"1996-04-15"</f>
        <v>1996-04-15</v>
      </c>
    </row>
    <row r="221" spans="1:4" ht="15.75" customHeight="1" x14ac:dyDescent="0.2">
      <c r="A221" s="2" t="s">
        <v>9</v>
      </c>
      <c r="B221" s="2" t="str">
        <f>"杨敦威"</f>
        <v>杨敦威</v>
      </c>
      <c r="C221" s="2" t="str">
        <f t="shared" si="3"/>
        <v>男</v>
      </c>
      <c r="D221" s="2" t="str">
        <f>"1997-01-09"</f>
        <v>1997-01-09</v>
      </c>
    </row>
    <row r="222" spans="1:4" ht="15.75" customHeight="1" x14ac:dyDescent="0.2">
      <c r="A222" s="2" t="s">
        <v>31</v>
      </c>
      <c r="B222" s="2" t="str">
        <f>"吕东方"</f>
        <v>吕东方</v>
      </c>
      <c r="C222" s="2" t="str">
        <f t="shared" si="3"/>
        <v>男</v>
      </c>
      <c r="D222" s="2" t="str">
        <f>"1993-03-06"</f>
        <v>1993-03-06</v>
      </c>
    </row>
    <row r="223" spans="1:4" ht="15.75" customHeight="1" x14ac:dyDescent="0.2">
      <c r="A223" s="2" t="s">
        <v>8</v>
      </c>
      <c r="B223" s="2" t="str">
        <f>"刘义龙"</f>
        <v>刘义龙</v>
      </c>
      <c r="C223" s="2" t="str">
        <f t="shared" si="3"/>
        <v>男</v>
      </c>
      <c r="D223" s="2" t="str">
        <f>"1992-07-27"</f>
        <v>1992-07-27</v>
      </c>
    </row>
    <row r="224" spans="1:4" ht="15.75" customHeight="1" x14ac:dyDescent="0.2">
      <c r="A224" s="2" t="s">
        <v>50</v>
      </c>
      <c r="B224" s="2" t="str">
        <f>"张兴旭"</f>
        <v>张兴旭</v>
      </c>
      <c r="C224" s="2" t="str">
        <f t="shared" si="3"/>
        <v>男</v>
      </c>
      <c r="D224" s="2" t="str">
        <f>"1994-02-28"</f>
        <v>1994-02-28</v>
      </c>
    </row>
    <row r="225" spans="1:4" ht="15.75" customHeight="1" x14ac:dyDescent="0.2">
      <c r="A225" s="2" t="s">
        <v>14</v>
      </c>
      <c r="B225" s="2" t="str">
        <f>"邓万贵"</f>
        <v>邓万贵</v>
      </c>
      <c r="C225" s="2" t="str">
        <f t="shared" si="3"/>
        <v>男</v>
      </c>
      <c r="D225" s="2" t="str">
        <f>"1992-08-03"</f>
        <v>1992-08-03</v>
      </c>
    </row>
    <row r="226" spans="1:4" ht="15.75" customHeight="1" x14ac:dyDescent="0.2">
      <c r="A226" s="2" t="s">
        <v>41</v>
      </c>
      <c r="B226" s="2" t="str">
        <f>"李依艳"</f>
        <v>李依艳</v>
      </c>
      <c r="C226" s="2" t="str">
        <f>"女"</f>
        <v>女</v>
      </c>
      <c r="D226" s="2" t="str">
        <f>"1997-02-10"</f>
        <v>1997-02-10</v>
      </c>
    </row>
    <row r="227" spans="1:4" ht="15.75" customHeight="1" x14ac:dyDescent="0.2">
      <c r="A227" s="2" t="s">
        <v>61</v>
      </c>
      <c r="B227" s="2" t="str">
        <f>"李思盟"</f>
        <v>李思盟</v>
      </c>
      <c r="C227" s="2" t="str">
        <f>"女"</f>
        <v>女</v>
      </c>
      <c r="D227" s="2" t="str">
        <f>"1998-09-20"</f>
        <v>1998-09-20</v>
      </c>
    </row>
    <row r="228" spans="1:4" ht="15.75" customHeight="1" x14ac:dyDescent="0.2">
      <c r="A228" s="2" t="s">
        <v>11</v>
      </c>
      <c r="B228" s="2" t="str">
        <f>"徐远来"</f>
        <v>徐远来</v>
      </c>
      <c r="C228" s="2" t="str">
        <f>"男"</f>
        <v>男</v>
      </c>
      <c r="D228" s="2" t="str">
        <f>"1998-04-03"</f>
        <v>1998-04-03</v>
      </c>
    </row>
    <row r="229" spans="1:4" ht="15.75" customHeight="1" x14ac:dyDescent="0.2">
      <c r="A229" s="2" t="s">
        <v>9</v>
      </c>
      <c r="B229" s="2" t="str">
        <f>"刘湘虹"</f>
        <v>刘湘虹</v>
      </c>
      <c r="C229" s="2" t="str">
        <f>"男"</f>
        <v>男</v>
      </c>
      <c r="D229" s="2" t="str">
        <f>"1997-04-14"</f>
        <v>1997-04-14</v>
      </c>
    </row>
    <row r="230" spans="1:4" ht="15.75" customHeight="1" x14ac:dyDescent="0.2">
      <c r="A230" s="2" t="s">
        <v>9</v>
      </c>
      <c r="B230" s="2" t="str">
        <f>"曾志"</f>
        <v>曾志</v>
      </c>
      <c r="C230" s="2" t="str">
        <f>"男"</f>
        <v>男</v>
      </c>
      <c r="D230" s="2" t="str">
        <f>"1995-09-22"</f>
        <v>1995-09-22</v>
      </c>
    </row>
    <row r="231" spans="1:4" ht="15.75" customHeight="1" x14ac:dyDescent="0.2">
      <c r="A231" s="2" t="s">
        <v>13</v>
      </c>
      <c r="B231" s="2" t="str">
        <f>"陈对"</f>
        <v>陈对</v>
      </c>
      <c r="C231" s="2" t="str">
        <f>"男"</f>
        <v>男</v>
      </c>
      <c r="D231" s="2" t="str">
        <f>"1991-09-22"</f>
        <v>1991-09-22</v>
      </c>
    </row>
    <row r="232" spans="1:4" ht="15.75" customHeight="1" x14ac:dyDescent="0.2">
      <c r="A232" s="2" t="s">
        <v>14</v>
      </c>
      <c r="B232" s="2" t="str">
        <f>"熊荣"</f>
        <v>熊荣</v>
      </c>
      <c r="C232" s="2" t="str">
        <f>"女"</f>
        <v>女</v>
      </c>
      <c r="D232" s="2" t="str">
        <f>"1995-08-02"</f>
        <v>1995-08-02</v>
      </c>
    </row>
    <row r="233" spans="1:4" ht="15.75" customHeight="1" x14ac:dyDescent="0.2">
      <c r="A233" s="2" t="s">
        <v>61</v>
      </c>
      <c r="B233" s="2" t="str">
        <f>"田紫阳"</f>
        <v>田紫阳</v>
      </c>
      <c r="C233" s="2" t="str">
        <f>"男"</f>
        <v>男</v>
      </c>
      <c r="D233" s="2" t="str">
        <f>"1996-12-08"</f>
        <v>1996-12-08</v>
      </c>
    </row>
    <row r="234" spans="1:4" ht="15.75" customHeight="1" x14ac:dyDescent="0.2">
      <c r="A234" s="2" t="s">
        <v>29</v>
      </c>
      <c r="B234" s="2" t="str">
        <f>"雷小宇"</f>
        <v>雷小宇</v>
      </c>
      <c r="C234" s="2" t="str">
        <f>"女"</f>
        <v>女</v>
      </c>
      <c r="D234" s="2" t="str">
        <f>"1998-09-11"</f>
        <v>1998-09-11</v>
      </c>
    </row>
    <row r="235" spans="1:4" ht="15.75" customHeight="1" x14ac:dyDescent="0.2">
      <c r="A235" s="2" t="s">
        <v>10</v>
      </c>
      <c r="B235" s="2" t="str">
        <f>"柳亚"</f>
        <v>柳亚</v>
      </c>
      <c r="C235" s="2" t="str">
        <f>"女"</f>
        <v>女</v>
      </c>
      <c r="D235" s="2" t="str">
        <f>"1996-12-02"</f>
        <v>1996-12-02</v>
      </c>
    </row>
    <row r="236" spans="1:4" ht="15.75" customHeight="1" x14ac:dyDescent="0.2">
      <c r="A236" s="2" t="s">
        <v>54</v>
      </c>
      <c r="B236" s="2" t="str">
        <f>"向星"</f>
        <v>向星</v>
      </c>
      <c r="C236" s="2" t="str">
        <f>"男"</f>
        <v>男</v>
      </c>
      <c r="D236" s="2" t="str">
        <f>"1996-10-20"</f>
        <v>1996-10-20</v>
      </c>
    </row>
    <row r="237" spans="1:4" ht="15.75" customHeight="1" x14ac:dyDescent="0.2">
      <c r="A237" s="2" t="s">
        <v>65</v>
      </c>
      <c r="B237" s="2" t="str">
        <f>"张瑶"</f>
        <v>张瑶</v>
      </c>
      <c r="C237" s="2" t="str">
        <f>"女"</f>
        <v>女</v>
      </c>
      <c r="D237" s="2" t="str">
        <f>"1994-07-04"</f>
        <v>1994-07-04</v>
      </c>
    </row>
    <row r="238" spans="1:4" ht="15.75" customHeight="1" x14ac:dyDescent="0.2">
      <c r="A238" s="2" t="s">
        <v>36</v>
      </c>
      <c r="B238" s="2" t="str">
        <f>"莫小葱"</f>
        <v>莫小葱</v>
      </c>
      <c r="C238" s="2" t="str">
        <f>"女"</f>
        <v>女</v>
      </c>
      <c r="D238" s="2" t="str">
        <f>"1999-08-26"</f>
        <v>1999-08-26</v>
      </c>
    </row>
    <row r="239" spans="1:4" ht="15.75" customHeight="1" x14ac:dyDescent="0.2">
      <c r="A239" s="2" t="s">
        <v>14</v>
      </c>
      <c r="B239" s="2" t="str">
        <f>"颜红"</f>
        <v>颜红</v>
      </c>
      <c r="C239" s="2" t="str">
        <f>"女"</f>
        <v>女</v>
      </c>
      <c r="D239" s="2" t="str">
        <f>"1988-01-07"</f>
        <v>1988-01-07</v>
      </c>
    </row>
    <row r="240" spans="1:4" ht="15.75" customHeight="1" x14ac:dyDescent="0.2">
      <c r="A240" s="2" t="s">
        <v>66</v>
      </c>
      <c r="B240" s="2" t="str">
        <f>"黄一娟"</f>
        <v>黄一娟</v>
      </c>
      <c r="C240" s="2" t="str">
        <f>"女"</f>
        <v>女</v>
      </c>
      <c r="D240" s="2" t="str">
        <f>"1993-10-04"</f>
        <v>1993-10-04</v>
      </c>
    </row>
    <row r="241" spans="1:4" ht="15.75" customHeight="1" x14ac:dyDescent="0.2">
      <c r="A241" s="2" t="s">
        <v>67</v>
      </c>
      <c r="B241" s="2" t="str">
        <f>"向翊桦"</f>
        <v>向翊桦</v>
      </c>
      <c r="C241" s="2" t="str">
        <f>"男"</f>
        <v>男</v>
      </c>
      <c r="D241" s="2" t="str">
        <f>"1990-10-16"</f>
        <v>1990-10-16</v>
      </c>
    </row>
    <row r="242" spans="1:4" ht="15.75" customHeight="1" x14ac:dyDescent="0.2">
      <c r="A242" s="2" t="s">
        <v>68</v>
      </c>
      <c r="B242" s="2" t="str">
        <f>"宋欣怡"</f>
        <v>宋欣怡</v>
      </c>
      <c r="C242" s="2" t="str">
        <f t="shared" ref="C242:C248" si="4">"女"</f>
        <v>女</v>
      </c>
      <c r="D242" s="2" t="str">
        <f>"1999-07-06"</f>
        <v>1999-07-06</v>
      </c>
    </row>
    <row r="243" spans="1:4" ht="15.75" customHeight="1" x14ac:dyDescent="0.2">
      <c r="A243" s="2" t="s">
        <v>24</v>
      </c>
      <c r="B243" s="2" t="str">
        <f>"李锋"</f>
        <v>李锋</v>
      </c>
      <c r="C243" s="2" t="str">
        <f t="shared" si="4"/>
        <v>女</v>
      </c>
      <c r="D243" s="2" t="str">
        <f>"1988-06-18"</f>
        <v>1988-06-18</v>
      </c>
    </row>
    <row r="244" spans="1:4" ht="15.75" customHeight="1" x14ac:dyDescent="0.2">
      <c r="A244" s="2" t="s">
        <v>43</v>
      </c>
      <c r="B244" s="2" t="str">
        <f>"皮三春"</f>
        <v>皮三春</v>
      </c>
      <c r="C244" s="2" t="str">
        <f t="shared" si="4"/>
        <v>女</v>
      </c>
      <c r="D244" s="2" t="str">
        <f>"1997-05-03"</f>
        <v>1997-05-03</v>
      </c>
    </row>
    <row r="245" spans="1:4" ht="15.75" customHeight="1" x14ac:dyDescent="0.2">
      <c r="A245" s="2" t="s">
        <v>11</v>
      </c>
      <c r="B245" s="2" t="str">
        <f>"于娟婷"</f>
        <v>于娟婷</v>
      </c>
      <c r="C245" s="2" t="str">
        <f t="shared" si="4"/>
        <v>女</v>
      </c>
      <c r="D245" s="2" t="str">
        <f>"1997-08-01"</f>
        <v>1997-08-01</v>
      </c>
    </row>
    <row r="246" spans="1:4" ht="15.75" customHeight="1" x14ac:dyDescent="0.2">
      <c r="A246" s="2" t="s">
        <v>22</v>
      </c>
      <c r="B246" s="2" t="str">
        <f>"张淑云"</f>
        <v>张淑云</v>
      </c>
      <c r="C246" s="2" t="str">
        <f t="shared" si="4"/>
        <v>女</v>
      </c>
      <c r="D246" s="2" t="str">
        <f>"1999-02-20"</f>
        <v>1999-02-20</v>
      </c>
    </row>
    <row r="247" spans="1:4" ht="15.75" customHeight="1" x14ac:dyDescent="0.2">
      <c r="A247" s="2" t="s">
        <v>31</v>
      </c>
      <c r="B247" s="2" t="str">
        <f>"赵澄林"</f>
        <v>赵澄林</v>
      </c>
      <c r="C247" s="2" t="str">
        <f t="shared" si="4"/>
        <v>女</v>
      </c>
      <c r="D247" s="2" t="str">
        <f>"2000-09-08"</f>
        <v>2000-09-08</v>
      </c>
    </row>
    <row r="248" spans="1:4" ht="15.75" customHeight="1" x14ac:dyDescent="0.2">
      <c r="A248" s="2" t="s">
        <v>14</v>
      </c>
      <c r="B248" s="2" t="str">
        <f>"胡蝶"</f>
        <v>胡蝶</v>
      </c>
      <c r="C248" s="2" t="str">
        <f t="shared" si="4"/>
        <v>女</v>
      </c>
      <c r="D248" s="2" t="str">
        <f>"1993-10-30"</f>
        <v>1993-10-30</v>
      </c>
    </row>
    <row r="249" spans="1:4" ht="15.75" customHeight="1" x14ac:dyDescent="0.2">
      <c r="A249" s="2" t="s">
        <v>41</v>
      </c>
      <c r="B249" s="2" t="str">
        <f>"沈宇琪"</f>
        <v>沈宇琪</v>
      </c>
      <c r="C249" s="2" t="str">
        <f>"男"</f>
        <v>男</v>
      </c>
      <c r="D249" s="2" t="str">
        <f>"1996-04-14"</f>
        <v>1996-04-14</v>
      </c>
    </row>
    <row r="250" spans="1:4" ht="15.75" customHeight="1" x14ac:dyDescent="0.2">
      <c r="A250" s="2" t="s">
        <v>19</v>
      </c>
      <c r="B250" s="2" t="str">
        <f>"陈强"</f>
        <v>陈强</v>
      </c>
      <c r="C250" s="2" t="str">
        <f>"男"</f>
        <v>男</v>
      </c>
      <c r="D250" s="2" t="str">
        <f>"1992-09-05"</f>
        <v>1992-09-05</v>
      </c>
    </row>
    <row r="251" spans="1:4" ht="15.75" customHeight="1" x14ac:dyDescent="0.2">
      <c r="A251" s="2" t="s">
        <v>13</v>
      </c>
      <c r="B251" s="2" t="str">
        <f>"陈武"</f>
        <v>陈武</v>
      </c>
      <c r="C251" s="2" t="str">
        <f>"男"</f>
        <v>男</v>
      </c>
      <c r="D251" s="2" t="str">
        <f>"1989-10-25"</f>
        <v>1989-10-25</v>
      </c>
    </row>
    <row r="252" spans="1:4" ht="15.75" customHeight="1" x14ac:dyDescent="0.2">
      <c r="A252" s="2" t="s">
        <v>12</v>
      </c>
      <c r="B252" s="2" t="str">
        <f>"马建军"</f>
        <v>马建军</v>
      </c>
      <c r="C252" s="2" t="str">
        <f>"男"</f>
        <v>男</v>
      </c>
      <c r="D252" s="2" t="str">
        <f>"1995-08-01"</f>
        <v>1995-08-01</v>
      </c>
    </row>
    <row r="253" spans="1:4" ht="15.75" customHeight="1" x14ac:dyDescent="0.2">
      <c r="A253" s="2" t="s">
        <v>47</v>
      </c>
      <c r="B253" s="2" t="str">
        <f>"黄琰"</f>
        <v>黄琰</v>
      </c>
      <c r="C253" s="2" t="str">
        <f>"女"</f>
        <v>女</v>
      </c>
      <c r="D253" s="2" t="str">
        <f>"2000-01-01"</f>
        <v>2000-01-01</v>
      </c>
    </row>
    <row r="254" spans="1:4" ht="15.75" customHeight="1" x14ac:dyDescent="0.2">
      <c r="A254" s="2" t="s">
        <v>66</v>
      </c>
      <c r="B254" s="2" t="str">
        <f>"邓尚朗"</f>
        <v>邓尚朗</v>
      </c>
      <c r="C254" s="2" t="str">
        <f>"男"</f>
        <v>男</v>
      </c>
      <c r="D254" s="2" t="str">
        <f>"1998-03-13"</f>
        <v>1998-03-13</v>
      </c>
    </row>
    <row r="255" spans="1:4" ht="15.75" customHeight="1" x14ac:dyDescent="0.2">
      <c r="A255" s="2" t="s">
        <v>40</v>
      </c>
      <c r="B255" s="2" t="str">
        <f>"刘梦洁"</f>
        <v>刘梦洁</v>
      </c>
      <c r="C255" s="2" t="str">
        <f>"女"</f>
        <v>女</v>
      </c>
      <c r="D255" s="2" t="str">
        <f>"1999-07-09"</f>
        <v>1999-07-09</v>
      </c>
    </row>
    <row r="256" spans="1:4" ht="15.75" customHeight="1" x14ac:dyDescent="0.2">
      <c r="A256" s="2" t="s">
        <v>52</v>
      </c>
      <c r="B256" s="2" t="str">
        <f>"胡杨"</f>
        <v>胡杨</v>
      </c>
      <c r="C256" s="2" t="str">
        <f>"女"</f>
        <v>女</v>
      </c>
      <c r="D256" s="2" t="str">
        <f>"1991-01-06"</f>
        <v>1991-01-06</v>
      </c>
    </row>
    <row r="257" spans="1:4" ht="15.75" customHeight="1" x14ac:dyDescent="0.2">
      <c r="A257" s="2" t="s">
        <v>36</v>
      </c>
      <c r="B257" s="2" t="str">
        <f>"陈轲"</f>
        <v>陈轲</v>
      </c>
      <c r="C257" s="2" t="str">
        <f>"男"</f>
        <v>男</v>
      </c>
      <c r="D257" s="2" t="str">
        <f>"1996-11-14"</f>
        <v>1996-11-14</v>
      </c>
    </row>
    <row r="258" spans="1:4" ht="15.75" customHeight="1" x14ac:dyDescent="0.2">
      <c r="A258" s="2" t="s">
        <v>58</v>
      </c>
      <c r="B258" s="2" t="str">
        <f>"何佳虹"</f>
        <v>何佳虹</v>
      </c>
      <c r="C258" s="2" t="str">
        <f>"女"</f>
        <v>女</v>
      </c>
      <c r="D258" s="2" t="str">
        <f>"1999-06-26"</f>
        <v>1999-06-26</v>
      </c>
    </row>
    <row r="259" spans="1:4" ht="15.75" customHeight="1" x14ac:dyDescent="0.2">
      <c r="A259" s="2" t="s">
        <v>55</v>
      </c>
      <c r="B259" s="2" t="str">
        <f>"丁乙"</f>
        <v>丁乙</v>
      </c>
      <c r="C259" s="2" t="str">
        <f>"男"</f>
        <v>男</v>
      </c>
      <c r="D259" s="2" t="str">
        <f>"1994-08-11"</f>
        <v>1994-08-11</v>
      </c>
    </row>
    <row r="260" spans="1:4" ht="15.75" customHeight="1" x14ac:dyDescent="0.2">
      <c r="A260" s="2" t="s">
        <v>14</v>
      </c>
      <c r="B260" s="2" t="str">
        <f>"朱书贤"</f>
        <v>朱书贤</v>
      </c>
      <c r="C260" s="2" t="str">
        <f>"男"</f>
        <v>男</v>
      </c>
      <c r="D260" s="2" t="str">
        <f>"1995-11-09"</f>
        <v>1995-11-09</v>
      </c>
    </row>
    <row r="261" spans="1:4" ht="15.75" customHeight="1" x14ac:dyDescent="0.2">
      <c r="A261" s="2" t="s">
        <v>20</v>
      </c>
      <c r="B261" s="2" t="str">
        <f>"覃哲彪"</f>
        <v>覃哲彪</v>
      </c>
      <c r="C261" s="2" t="str">
        <f>"男"</f>
        <v>男</v>
      </c>
      <c r="D261" s="2" t="str">
        <f>"1994-05-04"</f>
        <v>1994-05-04</v>
      </c>
    </row>
    <row r="262" spans="1:4" ht="15.75" customHeight="1" x14ac:dyDescent="0.2">
      <c r="A262" s="2" t="s">
        <v>15</v>
      </c>
      <c r="B262" s="2" t="str">
        <f>"商立军"</f>
        <v>商立军</v>
      </c>
      <c r="C262" s="2" t="str">
        <f>"男"</f>
        <v>男</v>
      </c>
      <c r="D262" s="2" t="str">
        <f>"1989-11-04"</f>
        <v>1989-11-04</v>
      </c>
    </row>
    <row r="263" spans="1:4" ht="15.75" customHeight="1" x14ac:dyDescent="0.2">
      <c r="A263" s="2" t="s">
        <v>20</v>
      </c>
      <c r="B263" s="2" t="str">
        <f>"向上林"</f>
        <v>向上林</v>
      </c>
      <c r="C263" s="2" t="str">
        <f>"男"</f>
        <v>男</v>
      </c>
      <c r="D263" s="2" t="str">
        <f>"1994-01-13"</f>
        <v>1994-01-13</v>
      </c>
    </row>
    <row r="264" spans="1:4" ht="15.75" customHeight="1" x14ac:dyDescent="0.2">
      <c r="A264" s="2" t="s">
        <v>13</v>
      </c>
      <c r="B264" s="2" t="str">
        <f>"雷湘萍"</f>
        <v>雷湘萍</v>
      </c>
      <c r="C264" s="2" t="str">
        <f>"女"</f>
        <v>女</v>
      </c>
      <c r="D264" s="2" t="str">
        <f>"1989-01-22"</f>
        <v>1989-01-22</v>
      </c>
    </row>
    <row r="265" spans="1:4" ht="15.75" customHeight="1" x14ac:dyDescent="0.2">
      <c r="A265" s="2" t="s">
        <v>10</v>
      </c>
      <c r="B265" s="2" t="str">
        <f>"朱彬"</f>
        <v>朱彬</v>
      </c>
      <c r="C265" s="2" t="str">
        <f>"女"</f>
        <v>女</v>
      </c>
      <c r="D265" s="2" t="str">
        <f>"1997-02-04"</f>
        <v>1997-02-04</v>
      </c>
    </row>
    <row r="266" spans="1:4" ht="15.75" customHeight="1" x14ac:dyDescent="0.2">
      <c r="A266" s="2" t="s">
        <v>40</v>
      </c>
      <c r="B266" s="2" t="str">
        <f>"王艺伟"</f>
        <v>王艺伟</v>
      </c>
      <c r="C266" s="2" t="str">
        <f>"女"</f>
        <v>女</v>
      </c>
      <c r="D266" s="2" t="str">
        <f>"1998-06-11"</f>
        <v>1998-06-11</v>
      </c>
    </row>
    <row r="267" spans="1:4" ht="15.75" customHeight="1" x14ac:dyDescent="0.2">
      <c r="A267" s="2" t="s">
        <v>22</v>
      </c>
      <c r="B267" s="2" t="str">
        <f>"朱玥"</f>
        <v>朱玥</v>
      </c>
      <c r="C267" s="2" t="str">
        <f>"女"</f>
        <v>女</v>
      </c>
      <c r="D267" s="2" t="str">
        <f>"1994-09-20"</f>
        <v>1994-09-20</v>
      </c>
    </row>
    <row r="268" spans="1:4" ht="15.75" customHeight="1" x14ac:dyDescent="0.2">
      <c r="A268" s="2" t="s">
        <v>41</v>
      </c>
      <c r="B268" s="2" t="str">
        <f>"陆先蜜"</f>
        <v>陆先蜜</v>
      </c>
      <c r="C268" s="2" t="str">
        <f>"男"</f>
        <v>男</v>
      </c>
      <c r="D268" s="2" t="str">
        <f>"1996-08-27"</f>
        <v>1996-08-27</v>
      </c>
    </row>
    <row r="269" spans="1:4" ht="15.75" customHeight="1" x14ac:dyDescent="0.2">
      <c r="A269" s="2" t="s">
        <v>40</v>
      </c>
      <c r="B269" s="2" t="str">
        <f>"尹琪"</f>
        <v>尹琪</v>
      </c>
      <c r="C269" s="2" t="str">
        <f>"女"</f>
        <v>女</v>
      </c>
      <c r="D269" s="2" t="str">
        <f>"1994-05-10"</f>
        <v>1994-05-10</v>
      </c>
    </row>
    <row r="270" spans="1:4" ht="15.75" customHeight="1" x14ac:dyDescent="0.2">
      <c r="A270" s="2" t="s">
        <v>45</v>
      </c>
      <c r="B270" s="2" t="str">
        <f>"张子凡"</f>
        <v>张子凡</v>
      </c>
      <c r="C270" s="2" t="str">
        <f>"男"</f>
        <v>男</v>
      </c>
      <c r="D270" s="2" t="str">
        <f>"1998-08-05"</f>
        <v>1998-08-05</v>
      </c>
    </row>
    <row r="271" spans="1:4" ht="15.75" customHeight="1" x14ac:dyDescent="0.2">
      <c r="A271" s="2" t="s">
        <v>61</v>
      </c>
      <c r="B271" s="2" t="str">
        <f>"熊亮"</f>
        <v>熊亮</v>
      </c>
      <c r="C271" s="2" t="str">
        <f>"男"</f>
        <v>男</v>
      </c>
      <c r="D271" s="2" t="str">
        <f>"1999-02-09"</f>
        <v>1999-02-09</v>
      </c>
    </row>
    <row r="272" spans="1:4" ht="15.75" customHeight="1" x14ac:dyDescent="0.2">
      <c r="A272" s="2" t="s">
        <v>50</v>
      </c>
      <c r="B272" s="2" t="str">
        <f>"沈思玥"</f>
        <v>沈思玥</v>
      </c>
      <c r="C272" s="2" t="str">
        <f>"女"</f>
        <v>女</v>
      </c>
      <c r="D272" s="2" t="str">
        <f>"1997-06-17"</f>
        <v>1997-06-17</v>
      </c>
    </row>
    <row r="273" spans="1:4" ht="15.75" customHeight="1" x14ac:dyDescent="0.2">
      <c r="A273" s="2" t="s">
        <v>4</v>
      </c>
      <c r="B273" s="2" t="str">
        <f>"陈勇"</f>
        <v>陈勇</v>
      </c>
      <c r="C273" s="2" t="str">
        <f>"男"</f>
        <v>男</v>
      </c>
      <c r="D273" s="2" t="str">
        <f>"1994-03-27"</f>
        <v>1994-03-27</v>
      </c>
    </row>
    <row r="274" spans="1:4" ht="15.75" customHeight="1" x14ac:dyDescent="0.2">
      <c r="A274" s="2" t="s">
        <v>18</v>
      </c>
      <c r="B274" s="2" t="str">
        <f>"郑珊珊"</f>
        <v>郑珊珊</v>
      </c>
      <c r="C274" s="2" t="str">
        <f>"女"</f>
        <v>女</v>
      </c>
      <c r="D274" s="2" t="str">
        <f>"1997-05-07"</f>
        <v>1997-05-07</v>
      </c>
    </row>
    <row r="275" spans="1:4" ht="15.75" customHeight="1" x14ac:dyDescent="0.2">
      <c r="A275" s="2" t="s">
        <v>42</v>
      </c>
      <c r="B275" s="2" t="str">
        <f>"罗霄"</f>
        <v>罗霄</v>
      </c>
      <c r="C275" s="2" t="str">
        <f>"男"</f>
        <v>男</v>
      </c>
      <c r="D275" s="2" t="str">
        <f>"1990-09-06"</f>
        <v>1990-09-06</v>
      </c>
    </row>
    <row r="276" spans="1:4" ht="15.75" customHeight="1" x14ac:dyDescent="0.2">
      <c r="A276" s="2" t="s">
        <v>37</v>
      </c>
      <c r="B276" s="2" t="str">
        <f>"钱锴"</f>
        <v>钱锴</v>
      </c>
      <c r="C276" s="2" t="str">
        <f>"男"</f>
        <v>男</v>
      </c>
      <c r="D276" s="2" t="str">
        <f>"1994-12-02"</f>
        <v>1994-12-02</v>
      </c>
    </row>
    <row r="277" spans="1:4" ht="15.75" customHeight="1" x14ac:dyDescent="0.2">
      <c r="A277" s="2" t="s">
        <v>15</v>
      </c>
      <c r="B277" s="2" t="str">
        <f>"张攀"</f>
        <v>张攀</v>
      </c>
      <c r="C277" s="2" t="str">
        <f>"男"</f>
        <v>男</v>
      </c>
      <c r="D277" s="2" t="str">
        <f>"1989-08-04"</f>
        <v>1989-08-04</v>
      </c>
    </row>
    <row r="278" spans="1:4" ht="15.75" customHeight="1" x14ac:dyDescent="0.2">
      <c r="A278" s="2" t="s">
        <v>31</v>
      </c>
      <c r="B278" s="2" t="str">
        <f>"杨丽"</f>
        <v>杨丽</v>
      </c>
      <c r="C278" s="2" t="str">
        <f>"女"</f>
        <v>女</v>
      </c>
      <c r="D278" s="2" t="str">
        <f>"1990-02-21"</f>
        <v>1990-02-21</v>
      </c>
    </row>
    <row r="279" spans="1:4" ht="15.75" customHeight="1" x14ac:dyDescent="0.2">
      <c r="A279" s="2" t="s">
        <v>40</v>
      </c>
      <c r="B279" s="2" t="str">
        <f>"张颖"</f>
        <v>张颖</v>
      </c>
      <c r="C279" s="2" t="str">
        <f>"女"</f>
        <v>女</v>
      </c>
      <c r="D279" s="2" t="str">
        <f>"1991-02-24"</f>
        <v>1991-02-24</v>
      </c>
    </row>
    <row r="280" spans="1:4" ht="15.75" customHeight="1" x14ac:dyDescent="0.2">
      <c r="A280" s="2" t="s">
        <v>58</v>
      </c>
      <c r="B280" s="2" t="str">
        <f>"高娟"</f>
        <v>高娟</v>
      </c>
      <c r="C280" s="2" t="str">
        <f>"女"</f>
        <v>女</v>
      </c>
      <c r="D280" s="2" t="str">
        <f>"1987-03-18"</f>
        <v>1987-03-18</v>
      </c>
    </row>
    <row r="281" spans="1:4" ht="15.75" customHeight="1" x14ac:dyDescent="0.2">
      <c r="A281" s="2" t="s">
        <v>14</v>
      </c>
      <c r="B281" s="2" t="str">
        <f>"胡司雨"</f>
        <v>胡司雨</v>
      </c>
      <c r="C281" s="2" t="str">
        <f>"女"</f>
        <v>女</v>
      </c>
      <c r="D281" s="2" t="str">
        <f>"1991-10-15"</f>
        <v>1991-10-15</v>
      </c>
    </row>
    <row r="282" spans="1:4" ht="15.75" customHeight="1" x14ac:dyDescent="0.2">
      <c r="A282" s="2" t="s">
        <v>13</v>
      </c>
      <c r="B282" s="2" t="str">
        <f>"黄义鑫"</f>
        <v>黄义鑫</v>
      </c>
      <c r="C282" s="2" t="str">
        <f>"男"</f>
        <v>男</v>
      </c>
      <c r="D282" s="2" t="str">
        <f>"1998-08-05"</f>
        <v>1998-08-05</v>
      </c>
    </row>
    <row r="283" spans="1:4" ht="15.75" customHeight="1" x14ac:dyDescent="0.2">
      <c r="A283" s="2" t="s">
        <v>8</v>
      </c>
      <c r="B283" s="2" t="str">
        <f>"唐广"</f>
        <v>唐广</v>
      </c>
      <c r="C283" s="2" t="str">
        <f>"男"</f>
        <v>男</v>
      </c>
      <c r="D283" s="2" t="str">
        <f>"1992-09-20"</f>
        <v>1992-09-20</v>
      </c>
    </row>
    <row r="284" spans="1:4" ht="15.75" customHeight="1" x14ac:dyDescent="0.2">
      <c r="A284" s="2" t="s">
        <v>56</v>
      </c>
      <c r="B284" s="2" t="str">
        <f>"李凤兰"</f>
        <v>李凤兰</v>
      </c>
      <c r="C284" s="2" t="str">
        <f>"女"</f>
        <v>女</v>
      </c>
      <c r="D284" s="2" t="str">
        <f>"1997-09-06"</f>
        <v>1997-09-06</v>
      </c>
    </row>
    <row r="285" spans="1:4" ht="15.75" customHeight="1" x14ac:dyDescent="0.2">
      <c r="A285" s="2" t="s">
        <v>31</v>
      </c>
      <c r="B285" s="2" t="str">
        <f>"罗依依"</f>
        <v>罗依依</v>
      </c>
      <c r="C285" s="2" t="str">
        <f>"女"</f>
        <v>女</v>
      </c>
      <c r="D285" s="2" t="str">
        <f>"1991-12-08"</f>
        <v>1991-12-08</v>
      </c>
    </row>
    <row r="286" spans="1:4" ht="15.75" customHeight="1" x14ac:dyDescent="0.2">
      <c r="A286" s="2" t="s">
        <v>36</v>
      </c>
      <c r="B286" s="2" t="str">
        <f>"徐荣"</f>
        <v>徐荣</v>
      </c>
      <c r="C286" s="2" t="str">
        <f>"女"</f>
        <v>女</v>
      </c>
      <c r="D286" s="2" t="str">
        <f>"1994-05-13"</f>
        <v>1994-05-13</v>
      </c>
    </row>
    <row r="287" spans="1:4" ht="15.75" customHeight="1" x14ac:dyDescent="0.2">
      <c r="A287" s="2" t="s">
        <v>31</v>
      </c>
      <c r="B287" s="2" t="str">
        <f>"郭涵"</f>
        <v>郭涵</v>
      </c>
      <c r="C287" s="2" t="str">
        <f>"男"</f>
        <v>男</v>
      </c>
      <c r="D287" s="2" t="str">
        <f>"1995-07-10"</f>
        <v>1995-07-10</v>
      </c>
    </row>
    <row r="288" spans="1:4" ht="15.75" customHeight="1" x14ac:dyDescent="0.2">
      <c r="A288" s="2" t="s">
        <v>9</v>
      </c>
      <c r="B288" s="2" t="str">
        <f>"向雅群"</f>
        <v>向雅群</v>
      </c>
      <c r="C288" s="2" t="str">
        <f t="shared" ref="C288:C296" si="5">"女"</f>
        <v>女</v>
      </c>
      <c r="D288" s="2" t="str">
        <f>"1997-11-30"</f>
        <v>1997-11-30</v>
      </c>
    </row>
    <row r="289" spans="1:4" ht="15.75" customHeight="1" x14ac:dyDescent="0.2">
      <c r="A289" s="2" t="s">
        <v>52</v>
      </c>
      <c r="B289" s="2" t="str">
        <f>"李湘"</f>
        <v>李湘</v>
      </c>
      <c r="C289" s="2" t="str">
        <f t="shared" si="5"/>
        <v>女</v>
      </c>
      <c r="D289" s="2" t="str">
        <f>"1990-12-04"</f>
        <v>1990-12-04</v>
      </c>
    </row>
    <row r="290" spans="1:4" ht="15.75" customHeight="1" x14ac:dyDescent="0.2">
      <c r="A290" s="2" t="s">
        <v>47</v>
      </c>
      <c r="B290" s="2" t="str">
        <f>"吴海熔"</f>
        <v>吴海熔</v>
      </c>
      <c r="C290" s="2" t="str">
        <f t="shared" si="5"/>
        <v>女</v>
      </c>
      <c r="D290" s="2" t="str">
        <f>"1998-08-06"</f>
        <v>1998-08-06</v>
      </c>
    </row>
    <row r="291" spans="1:4" ht="15.75" customHeight="1" x14ac:dyDescent="0.2">
      <c r="A291" s="2" t="s">
        <v>15</v>
      </c>
      <c r="B291" s="2" t="str">
        <f>"刘灏麒"</f>
        <v>刘灏麒</v>
      </c>
      <c r="C291" s="2" t="str">
        <f t="shared" si="5"/>
        <v>女</v>
      </c>
      <c r="D291" s="2" t="str">
        <f>"1999-02-27"</f>
        <v>1999-02-27</v>
      </c>
    </row>
    <row r="292" spans="1:4" ht="15.75" customHeight="1" x14ac:dyDescent="0.2">
      <c r="A292" s="2" t="s">
        <v>13</v>
      </c>
      <c r="B292" s="2" t="str">
        <f>"王娅"</f>
        <v>王娅</v>
      </c>
      <c r="C292" s="2" t="str">
        <f t="shared" si="5"/>
        <v>女</v>
      </c>
      <c r="D292" s="2" t="str">
        <f>"1992-02-25"</f>
        <v>1992-02-25</v>
      </c>
    </row>
    <row r="293" spans="1:4" ht="15.75" customHeight="1" x14ac:dyDescent="0.2">
      <c r="A293" s="2" t="s">
        <v>55</v>
      </c>
      <c r="B293" s="2" t="str">
        <f>"杨辉"</f>
        <v>杨辉</v>
      </c>
      <c r="C293" s="2" t="str">
        <f t="shared" si="5"/>
        <v>女</v>
      </c>
      <c r="D293" s="2" t="str">
        <f>"1996-01-24"</f>
        <v>1996-01-24</v>
      </c>
    </row>
    <row r="294" spans="1:4" ht="15.75" customHeight="1" x14ac:dyDescent="0.2">
      <c r="A294" s="2" t="s">
        <v>9</v>
      </c>
      <c r="B294" s="2" t="str">
        <f>"万宁萱"</f>
        <v>万宁萱</v>
      </c>
      <c r="C294" s="2" t="str">
        <f t="shared" si="5"/>
        <v>女</v>
      </c>
      <c r="D294" s="2" t="str">
        <f>"1997-11-30"</f>
        <v>1997-11-30</v>
      </c>
    </row>
    <row r="295" spans="1:4" ht="15.75" customHeight="1" x14ac:dyDescent="0.2">
      <c r="A295" s="2" t="s">
        <v>8</v>
      </c>
      <c r="B295" s="2" t="str">
        <f>"胡元元"</f>
        <v>胡元元</v>
      </c>
      <c r="C295" s="2" t="str">
        <f t="shared" si="5"/>
        <v>女</v>
      </c>
      <c r="D295" s="2" t="str">
        <f>"1993-02-28"</f>
        <v>1993-02-28</v>
      </c>
    </row>
    <row r="296" spans="1:4" ht="15.75" customHeight="1" x14ac:dyDescent="0.2">
      <c r="A296" s="2" t="s">
        <v>24</v>
      </c>
      <c r="B296" s="2" t="str">
        <f>"杨泞梦"</f>
        <v>杨泞梦</v>
      </c>
      <c r="C296" s="2" t="str">
        <f t="shared" si="5"/>
        <v>女</v>
      </c>
      <c r="D296" s="2" t="str">
        <f>"1992-06-14"</f>
        <v>1992-06-14</v>
      </c>
    </row>
    <row r="297" spans="1:4" ht="15.75" customHeight="1" x14ac:dyDescent="0.2">
      <c r="A297" s="2" t="s">
        <v>23</v>
      </c>
      <c r="B297" s="2" t="str">
        <f>"蒋全伟"</f>
        <v>蒋全伟</v>
      </c>
      <c r="C297" s="2" t="str">
        <f t="shared" ref="C297:C302" si="6">"男"</f>
        <v>男</v>
      </c>
      <c r="D297" s="2" t="str">
        <f>"1998-12-16"</f>
        <v>1998-12-16</v>
      </c>
    </row>
    <row r="298" spans="1:4" ht="15.75" customHeight="1" x14ac:dyDescent="0.2">
      <c r="A298" s="2" t="s">
        <v>14</v>
      </c>
      <c r="B298" s="2" t="str">
        <f>"刘霖枫"</f>
        <v>刘霖枫</v>
      </c>
      <c r="C298" s="2" t="str">
        <f t="shared" si="6"/>
        <v>男</v>
      </c>
      <c r="D298" s="2" t="str">
        <f>"1996-10-04"</f>
        <v>1996-10-04</v>
      </c>
    </row>
    <row r="299" spans="1:4" ht="15.75" customHeight="1" x14ac:dyDescent="0.2">
      <c r="A299" s="2" t="s">
        <v>43</v>
      </c>
      <c r="B299" s="2" t="str">
        <f>"康哲"</f>
        <v>康哲</v>
      </c>
      <c r="C299" s="2" t="str">
        <f t="shared" si="6"/>
        <v>男</v>
      </c>
      <c r="D299" s="2" t="str">
        <f>"1995-09-05"</f>
        <v>1995-09-05</v>
      </c>
    </row>
    <row r="300" spans="1:4" ht="15.75" customHeight="1" x14ac:dyDescent="0.2">
      <c r="A300" s="2" t="s">
        <v>69</v>
      </c>
      <c r="B300" s="2" t="str">
        <f>"李为"</f>
        <v>李为</v>
      </c>
      <c r="C300" s="2" t="str">
        <f t="shared" si="6"/>
        <v>男</v>
      </c>
      <c r="D300" s="2" t="str">
        <f>"1998-10-17"</f>
        <v>1998-10-17</v>
      </c>
    </row>
    <row r="301" spans="1:4" ht="15.75" customHeight="1" x14ac:dyDescent="0.2">
      <c r="A301" s="2" t="s">
        <v>18</v>
      </c>
      <c r="B301" s="2" t="str">
        <f>"孙涛"</f>
        <v>孙涛</v>
      </c>
      <c r="C301" s="2" t="str">
        <f t="shared" si="6"/>
        <v>男</v>
      </c>
      <c r="D301" s="2" t="str">
        <f>"1998-02-28"</f>
        <v>1998-02-28</v>
      </c>
    </row>
    <row r="302" spans="1:4" ht="15.75" customHeight="1" x14ac:dyDescent="0.2">
      <c r="A302" s="2" t="s">
        <v>23</v>
      </c>
      <c r="B302" s="2" t="str">
        <f>"吴远长"</f>
        <v>吴远长</v>
      </c>
      <c r="C302" s="2" t="str">
        <f t="shared" si="6"/>
        <v>男</v>
      </c>
      <c r="D302" s="2" t="str">
        <f>"1991-09-23"</f>
        <v>1991-09-23</v>
      </c>
    </row>
    <row r="303" spans="1:4" ht="15.75" customHeight="1" x14ac:dyDescent="0.2">
      <c r="A303" s="2" t="s">
        <v>14</v>
      </c>
      <c r="B303" s="2" t="str">
        <f>"任险平"</f>
        <v>任险平</v>
      </c>
      <c r="C303" s="2" t="str">
        <f>"女"</f>
        <v>女</v>
      </c>
      <c r="D303" s="2" t="str">
        <f>"1993-06-23"</f>
        <v>1993-06-23</v>
      </c>
    </row>
    <row r="304" spans="1:4" ht="15.75" customHeight="1" x14ac:dyDescent="0.2">
      <c r="A304" s="2" t="s">
        <v>22</v>
      </c>
      <c r="B304" s="2" t="str">
        <f>"陈能钰"</f>
        <v>陈能钰</v>
      </c>
      <c r="C304" s="2" t="str">
        <f>"女"</f>
        <v>女</v>
      </c>
      <c r="D304" s="2" t="str">
        <f>"1995-01-24"</f>
        <v>1995-01-24</v>
      </c>
    </row>
    <row r="305" spans="1:4" ht="15.75" customHeight="1" x14ac:dyDescent="0.2">
      <c r="A305" s="2" t="s">
        <v>32</v>
      </c>
      <c r="B305" s="2" t="str">
        <f>"宋秋怡"</f>
        <v>宋秋怡</v>
      </c>
      <c r="C305" s="2" t="str">
        <f>"女"</f>
        <v>女</v>
      </c>
      <c r="D305" s="2" t="str">
        <f>"1992-08-02"</f>
        <v>1992-08-02</v>
      </c>
    </row>
    <row r="306" spans="1:4" ht="15.75" customHeight="1" x14ac:dyDescent="0.2">
      <c r="A306" s="2" t="s">
        <v>40</v>
      </c>
      <c r="B306" s="2" t="str">
        <f>"王玲"</f>
        <v>王玲</v>
      </c>
      <c r="C306" s="2" t="str">
        <f>"女"</f>
        <v>女</v>
      </c>
      <c r="D306" s="2" t="str">
        <f>"1999-10-01"</f>
        <v>1999-10-01</v>
      </c>
    </row>
    <row r="307" spans="1:4" ht="15.75" customHeight="1" x14ac:dyDescent="0.2">
      <c r="A307" s="2" t="s">
        <v>31</v>
      </c>
      <c r="B307" s="2" t="str">
        <f>"刘洋"</f>
        <v>刘洋</v>
      </c>
      <c r="C307" s="2" t="str">
        <f>"男"</f>
        <v>男</v>
      </c>
      <c r="D307" s="2" t="str">
        <f>"1996-12-04"</f>
        <v>1996-12-04</v>
      </c>
    </row>
    <row r="308" spans="1:4" ht="15.75" customHeight="1" x14ac:dyDescent="0.2">
      <c r="A308" s="2" t="s">
        <v>42</v>
      </c>
      <c r="B308" s="2" t="str">
        <f>"陈海林"</f>
        <v>陈海林</v>
      </c>
      <c r="C308" s="2" t="str">
        <f>"男"</f>
        <v>男</v>
      </c>
      <c r="D308" s="2" t="str">
        <f>"1987-06-12"</f>
        <v>1987-06-12</v>
      </c>
    </row>
    <row r="309" spans="1:4" ht="15.75" customHeight="1" x14ac:dyDescent="0.2">
      <c r="A309" s="2" t="s">
        <v>37</v>
      </c>
      <c r="B309" s="2" t="str">
        <f>"史明锋"</f>
        <v>史明锋</v>
      </c>
      <c r="C309" s="2" t="str">
        <f>"男"</f>
        <v>男</v>
      </c>
      <c r="D309" s="2" t="str">
        <f>"1991-04-01"</f>
        <v>1991-04-01</v>
      </c>
    </row>
    <row r="310" spans="1:4" ht="15.75" customHeight="1" x14ac:dyDescent="0.2">
      <c r="A310" s="2" t="s">
        <v>24</v>
      </c>
      <c r="B310" s="2" t="str">
        <f>"熊煜"</f>
        <v>熊煜</v>
      </c>
      <c r="C310" s="2" t="str">
        <f>"男"</f>
        <v>男</v>
      </c>
      <c r="D310" s="2" t="str">
        <f>"1992-09-21"</f>
        <v>1992-09-21</v>
      </c>
    </row>
    <row r="311" spans="1:4" ht="15.75" customHeight="1" x14ac:dyDescent="0.2">
      <c r="A311" s="2" t="s">
        <v>8</v>
      </c>
      <c r="B311" s="2" t="str">
        <f>"曾媛"</f>
        <v>曾媛</v>
      </c>
      <c r="C311" s="2" t="str">
        <f t="shared" ref="C311:C316" si="7">"女"</f>
        <v>女</v>
      </c>
      <c r="D311" s="2" t="str">
        <f>"1988-04-19"</f>
        <v>1988-04-19</v>
      </c>
    </row>
    <row r="312" spans="1:4" ht="15.75" customHeight="1" x14ac:dyDescent="0.2">
      <c r="A312" s="2" t="s">
        <v>8</v>
      </c>
      <c r="B312" s="2" t="str">
        <f>"袁兰"</f>
        <v>袁兰</v>
      </c>
      <c r="C312" s="2" t="str">
        <f t="shared" si="7"/>
        <v>女</v>
      </c>
      <c r="D312" s="2" t="str">
        <f>"1996-08-10"</f>
        <v>1996-08-10</v>
      </c>
    </row>
    <row r="313" spans="1:4" ht="15.75" customHeight="1" x14ac:dyDescent="0.2">
      <c r="A313" s="2" t="s">
        <v>46</v>
      </c>
      <c r="B313" s="2" t="str">
        <f>"廖珂"</f>
        <v>廖珂</v>
      </c>
      <c r="C313" s="2" t="str">
        <f t="shared" si="7"/>
        <v>女</v>
      </c>
      <c r="D313" s="2" t="str">
        <f>"1989-06-25"</f>
        <v>1989-06-25</v>
      </c>
    </row>
    <row r="314" spans="1:4" ht="15.75" customHeight="1" x14ac:dyDescent="0.2">
      <c r="A314" s="2" t="s">
        <v>13</v>
      </c>
      <c r="B314" s="2" t="str">
        <f>"易敏"</f>
        <v>易敏</v>
      </c>
      <c r="C314" s="2" t="str">
        <f t="shared" si="7"/>
        <v>女</v>
      </c>
      <c r="D314" s="2" t="str">
        <f>"1988-12-27"</f>
        <v>1988-12-27</v>
      </c>
    </row>
    <row r="315" spans="1:4" ht="15.75" customHeight="1" x14ac:dyDescent="0.2">
      <c r="A315" s="2" t="s">
        <v>57</v>
      </c>
      <c r="B315" s="2" t="str">
        <f>"王馨悦"</f>
        <v>王馨悦</v>
      </c>
      <c r="C315" s="2" t="str">
        <f t="shared" si="7"/>
        <v>女</v>
      </c>
      <c r="D315" s="2" t="str">
        <f>"1995-02-06"</f>
        <v>1995-02-06</v>
      </c>
    </row>
    <row r="316" spans="1:4" ht="15.75" customHeight="1" x14ac:dyDescent="0.2">
      <c r="A316" s="2" t="s">
        <v>46</v>
      </c>
      <c r="B316" s="2" t="str">
        <f>"张李瑶"</f>
        <v>张李瑶</v>
      </c>
      <c r="C316" s="2" t="str">
        <f t="shared" si="7"/>
        <v>女</v>
      </c>
      <c r="D316" s="2" t="str">
        <f>"1994-04-07"</f>
        <v>1994-04-07</v>
      </c>
    </row>
    <row r="317" spans="1:4" ht="15.75" customHeight="1" x14ac:dyDescent="0.2">
      <c r="A317" s="2" t="s">
        <v>24</v>
      </c>
      <c r="B317" s="2" t="str">
        <f>"姜月"</f>
        <v>姜月</v>
      </c>
      <c r="C317" s="2" t="str">
        <f>"男"</f>
        <v>男</v>
      </c>
      <c r="D317" s="2" t="str">
        <f>"1996-06-23"</f>
        <v>1996-06-23</v>
      </c>
    </row>
    <row r="318" spans="1:4" ht="15.75" customHeight="1" x14ac:dyDescent="0.2">
      <c r="A318" s="2" t="s">
        <v>58</v>
      </c>
      <c r="B318" s="2" t="str">
        <f>"刘静雯"</f>
        <v>刘静雯</v>
      </c>
      <c r="C318" s="2" t="str">
        <f t="shared" ref="C318:C323" si="8">"女"</f>
        <v>女</v>
      </c>
      <c r="D318" s="2" t="str">
        <f>"1998-09-28"</f>
        <v>1998-09-28</v>
      </c>
    </row>
    <row r="319" spans="1:4" ht="15.75" customHeight="1" x14ac:dyDescent="0.2">
      <c r="A319" s="2" t="s">
        <v>44</v>
      </c>
      <c r="B319" s="2" t="str">
        <f>"翟静"</f>
        <v>翟静</v>
      </c>
      <c r="C319" s="2" t="str">
        <f t="shared" si="8"/>
        <v>女</v>
      </c>
      <c r="D319" s="2" t="str">
        <f>"1990-06-03"</f>
        <v>1990-06-03</v>
      </c>
    </row>
    <row r="320" spans="1:4" ht="15.75" customHeight="1" x14ac:dyDescent="0.2">
      <c r="A320" s="2" t="s">
        <v>14</v>
      </c>
      <c r="B320" s="2" t="str">
        <f>"黄淑君"</f>
        <v>黄淑君</v>
      </c>
      <c r="C320" s="2" t="str">
        <f t="shared" si="8"/>
        <v>女</v>
      </c>
      <c r="D320" s="2" t="str">
        <f>"1997-10-31"</f>
        <v>1997-10-31</v>
      </c>
    </row>
    <row r="321" spans="1:4" ht="15.75" customHeight="1" x14ac:dyDescent="0.2">
      <c r="A321" s="2" t="s">
        <v>40</v>
      </c>
      <c r="B321" s="2" t="str">
        <f>"王璇"</f>
        <v>王璇</v>
      </c>
      <c r="C321" s="2" t="str">
        <f t="shared" si="8"/>
        <v>女</v>
      </c>
      <c r="D321" s="2" t="str">
        <f>"1993-10-15"</f>
        <v>1993-10-15</v>
      </c>
    </row>
    <row r="322" spans="1:4" ht="15.75" customHeight="1" x14ac:dyDescent="0.2">
      <c r="A322" s="2" t="s">
        <v>24</v>
      </c>
      <c r="B322" s="2" t="str">
        <f>"聂建恒"</f>
        <v>聂建恒</v>
      </c>
      <c r="C322" s="2" t="str">
        <f t="shared" si="8"/>
        <v>女</v>
      </c>
      <c r="D322" s="2" t="str">
        <f>"1993-07-20"</f>
        <v>1993-07-20</v>
      </c>
    </row>
    <row r="323" spans="1:4" ht="15.75" customHeight="1" x14ac:dyDescent="0.2">
      <c r="A323" s="2" t="s">
        <v>42</v>
      </c>
      <c r="B323" s="2" t="str">
        <f>"郑红"</f>
        <v>郑红</v>
      </c>
      <c r="C323" s="2" t="str">
        <f t="shared" si="8"/>
        <v>女</v>
      </c>
      <c r="D323" s="2" t="str">
        <f>"1990-07-29"</f>
        <v>1990-07-29</v>
      </c>
    </row>
    <row r="324" spans="1:4" ht="15.75" customHeight="1" x14ac:dyDescent="0.2">
      <c r="A324" s="2" t="s">
        <v>63</v>
      </c>
      <c r="B324" s="2" t="str">
        <f>"唐明松"</f>
        <v>唐明松</v>
      </c>
      <c r="C324" s="2" t="str">
        <f>"男"</f>
        <v>男</v>
      </c>
      <c r="D324" s="2" t="str">
        <f>"1997-11-16"</f>
        <v>1997-11-16</v>
      </c>
    </row>
    <row r="325" spans="1:4" ht="15.75" customHeight="1" x14ac:dyDescent="0.2">
      <c r="A325" s="2" t="s">
        <v>13</v>
      </c>
      <c r="B325" s="2" t="str">
        <f>"熊云"</f>
        <v>熊云</v>
      </c>
      <c r="C325" s="2" t="str">
        <f>"女"</f>
        <v>女</v>
      </c>
      <c r="D325" s="2" t="str">
        <f>"1990-05-11"</f>
        <v>1990-05-11</v>
      </c>
    </row>
    <row r="326" spans="1:4" ht="15.75" customHeight="1" x14ac:dyDescent="0.2">
      <c r="A326" s="2" t="s">
        <v>31</v>
      </c>
      <c r="B326" s="2" t="str">
        <f>"熊依凡"</f>
        <v>熊依凡</v>
      </c>
      <c r="C326" s="2" t="str">
        <f>"女"</f>
        <v>女</v>
      </c>
      <c r="D326" s="2" t="str">
        <f>"1989-03-07"</f>
        <v>1989-03-07</v>
      </c>
    </row>
    <row r="327" spans="1:4" ht="15.75" customHeight="1" x14ac:dyDescent="0.2">
      <c r="A327" s="2" t="s">
        <v>43</v>
      </c>
      <c r="B327" s="2" t="str">
        <f>"刘奕辰"</f>
        <v>刘奕辰</v>
      </c>
      <c r="C327" s="2" t="str">
        <f>"女"</f>
        <v>女</v>
      </c>
      <c r="D327" s="2" t="str">
        <f>"1995-02-04"</f>
        <v>1995-02-04</v>
      </c>
    </row>
    <row r="328" spans="1:4" ht="15.75" customHeight="1" x14ac:dyDescent="0.2">
      <c r="A328" s="2" t="s">
        <v>47</v>
      </c>
      <c r="B328" s="2" t="str">
        <f>"吴瑞芝"</f>
        <v>吴瑞芝</v>
      </c>
      <c r="C328" s="2" t="str">
        <f>"女"</f>
        <v>女</v>
      </c>
      <c r="D328" s="2" t="str">
        <f>"1998-04-01"</f>
        <v>1998-04-01</v>
      </c>
    </row>
    <row r="329" spans="1:4" ht="15.75" customHeight="1" x14ac:dyDescent="0.2">
      <c r="A329" s="2" t="s">
        <v>18</v>
      </c>
      <c r="B329" s="2" t="str">
        <f>"杜雁冰"</f>
        <v>杜雁冰</v>
      </c>
      <c r="C329" s="2" t="str">
        <f>"女"</f>
        <v>女</v>
      </c>
      <c r="D329" s="2" t="str">
        <f>"1996-03-07"</f>
        <v>1996-03-07</v>
      </c>
    </row>
    <row r="330" spans="1:4" ht="15.75" customHeight="1" x14ac:dyDescent="0.2">
      <c r="A330" s="2" t="s">
        <v>66</v>
      </c>
      <c r="B330" s="2" t="str">
        <f>"张佑邦"</f>
        <v>张佑邦</v>
      </c>
      <c r="C330" s="2" t="str">
        <f>"男"</f>
        <v>男</v>
      </c>
      <c r="D330" s="2" t="str">
        <f>"1997-05-23"</f>
        <v>1997-05-23</v>
      </c>
    </row>
    <row r="331" spans="1:4" ht="15.75" customHeight="1" x14ac:dyDescent="0.2">
      <c r="A331" s="2" t="s">
        <v>70</v>
      </c>
      <c r="B331" s="2" t="str">
        <f>"刘莉莉"</f>
        <v>刘莉莉</v>
      </c>
      <c r="C331" s="2" t="str">
        <f>"女"</f>
        <v>女</v>
      </c>
      <c r="D331" s="2" t="str">
        <f>"1987-10-06"</f>
        <v>1987-10-06</v>
      </c>
    </row>
    <row r="332" spans="1:4" ht="15.75" customHeight="1" x14ac:dyDescent="0.2">
      <c r="A332" s="2" t="s">
        <v>18</v>
      </c>
      <c r="B332" s="2" t="str">
        <f>"骆梦卓"</f>
        <v>骆梦卓</v>
      </c>
      <c r="C332" s="2" t="str">
        <f>"女"</f>
        <v>女</v>
      </c>
      <c r="D332" s="2" t="str">
        <f>"1995-05-27"</f>
        <v>1995-05-27</v>
      </c>
    </row>
    <row r="333" spans="1:4" ht="15.75" customHeight="1" x14ac:dyDescent="0.2">
      <c r="A333" s="2" t="s">
        <v>14</v>
      </c>
      <c r="B333" s="2" t="str">
        <f>"帅杰"</f>
        <v>帅杰</v>
      </c>
      <c r="C333" s="2" t="str">
        <f>"男"</f>
        <v>男</v>
      </c>
      <c r="D333" s="2" t="str">
        <f>"2001-10-28"</f>
        <v>2001-10-28</v>
      </c>
    </row>
    <row r="334" spans="1:4" ht="15.75" customHeight="1" x14ac:dyDescent="0.2">
      <c r="A334" s="2" t="s">
        <v>17</v>
      </c>
      <c r="B334" s="2" t="str">
        <f>"张文里"</f>
        <v>张文里</v>
      </c>
      <c r="C334" s="2" t="str">
        <f>"男"</f>
        <v>男</v>
      </c>
      <c r="D334" s="2" t="str">
        <f>"1995-03-31"</f>
        <v>1995-03-31</v>
      </c>
    </row>
    <row r="335" spans="1:4" ht="15.75" customHeight="1" x14ac:dyDescent="0.2">
      <c r="A335" s="2" t="s">
        <v>15</v>
      </c>
      <c r="B335" s="2" t="str">
        <f>"王丽萍"</f>
        <v>王丽萍</v>
      </c>
      <c r="C335" s="2" t="str">
        <f>"女"</f>
        <v>女</v>
      </c>
      <c r="D335" s="2" t="str">
        <f>"1992-02-19"</f>
        <v>1992-02-19</v>
      </c>
    </row>
    <row r="336" spans="1:4" ht="15.75" customHeight="1" x14ac:dyDescent="0.2">
      <c r="A336" s="2" t="s">
        <v>52</v>
      </c>
      <c r="B336" s="2" t="str">
        <f>"岳娟"</f>
        <v>岳娟</v>
      </c>
      <c r="C336" s="2" t="str">
        <f>"女"</f>
        <v>女</v>
      </c>
      <c r="D336" s="2" t="str">
        <f>"1989-07-04"</f>
        <v>1989-07-04</v>
      </c>
    </row>
    <row r="337" spans="1:4" ht="15.75" customHeight="1" x14ac:dyDescent="0.2">
      <c r="A337" s="2" t="s">
        <v>14</v>
      </c>
      <c r="B337" s="2" t="str">
        <f>"江巍"</f>
        <v>江巍</v>
      </c>
      <c r="C337" s="2" t="str">
        <f>"男"</f>
        <v>男</v>
      </c>
      <c r="D337" s="2" t="str">
        <f>"1995-08-29"</f>
        <v>1995-08-29</v>
      </c>
    </row>
    <row r="338" spans="1:4" ht="15.75" customHeight="1" x14ac:dyDescent="0.2">
      <c r="A338" s="2" t="s">
        <v>66</v>
      </c>
      <c r="B338" s="2" t="str">
        <f>"胡明芳"</f>
        <v>胡明芳</v>
      </c>
      <c r="C338" s="2" t="str">
        <f>"女"</f>
        <v>女</v>
      </c>
      <c r="D338" s="2" t="str">
        <f>"1998-07-20"</f>
        <v>1998-07-20</v>
      </c>
    </row>
    <row r="339" spans="1:4" ht="15.75" customHeight="1" x14ac:dyDescent="0.2">
      <c r="A339" s="2" t="s">
        <v>44</v>
      </c>
      <c r="B339" s="2" t="str">
        <f>"郑吉明"</f>
        <v>郑吉明</v>
      </c>
      <c r="C339" s="2" t="str">
        <f>"男"</f>
        <v>男</v>
      </c>
      <c r="D339" s="2" t="str">
        <f>"1997-10-22"</f>
        <v>1997-10-22</v>
      </c>
    </row>
    <row r="340" spans="1:4" ht="15.75" customHeight="1" x14ac:dyDescent="0.2">
      <c r="A340" s="2" t="s">
        <v>24</v>
      </c>
      <c r="B340" s="2" t="str">
        <f>"王津津"</f>
        <v>王津津</v>
      </c>
      <c r="C340" s="2" t="str">
        <f>"女"</f>
        <v>女</v>
      </c>
      <c r="D340" s="2" t="str">
        <f>"1990-09-09"</f>
        <v>1990-09-09</v>
      </c>
    </row>
    <row r="341" spans="1:4" ht="15.75" customHeight="1" x14ac:dyDescent="0.2">
      <c r="A341" s="2" t="s">
        <v>42</v>
      </c>
      <c r="B341" s="2" t="str">
        <f>"欧龙"</f>
        <v>欧龙</v>
      </c>
      <c r="C341" s="2" t="str">
        <f>"男"</f>
        <v>男</v>
      </c>
      <c r="D341" s="2" t="str">
        <f>"1989-12-04"</f>
        <v>1989-12-04</v>
      </c>
    </row>
    <row r="342" spans="1:4" ht="15.75" customHeight="1" x14ac:dyDescent="0.2">
      <c r="A342" s="2" t="s">
        <v>8</v>
      </c>
      <c r="B342" s="2" t="str">
        <f>"姚艳"</f>
        <v>姚艳</v>
      </c>
      <c r="C342" s="2" t="str">
        <f>"女"</f>
        <v>女</v>
      </c>
      <c r="D342" s="2" t="str">
        <f>"1991-09-23"</f>
        <v>1991-09-23</v>
      </c>
    </row>
    <row r="343" spans="1:4" ht="15.75" customHeight="1" x14ac:dyDescent="0.2">
      <c r="A343" s="2" t="s">
        <v>34</v>
      </c>
      <c r="B343" s="2" t="str">
        <f>"张骆骞"</f>
        <v>张骆骞</v>
      </c>
      <c r="C343" s="2" t="str">
        <f>"男"</f>
        <v>男</v>
      </c>
      <c r="D343" s="2" t="str">
        <f>"1995-11-15"</f>
        <v>1995-11-15</v>
      </c>
    </row>
    <row r="344" spans="1:4" ht="15.75" customHeight="1" x14ac:dyDescent="0.2">
      <c r="A344" s="2" t="s">
        <v>68</v>
      </c>
      <c r="B344" s="2" t="str">
        <f>"傅君怡"</f>
        <v>傅君怡</v>
      </c>
      <c r="C344" s="2" t="str">
        <f>"女"</f>
        <v>女</v>
      </c>
      <c r="D344" s="2" t="str">
        <f>"1999-12-23"</f>
        <v>1999-12-23</v>
      </c>
    </row>
    <row r="345" spans="1:4" ht="15.75" customHeight="1" x14ac:dyDescent="0.2">
      <c r="A345" s="2" t="s">
        <v>42</v>
      </c>
      <c r="B345" s="2" t="str">
        <f>"李厚漾"</f>
        <v>李厚漾</v>
      </c>
      <c r="C345" s="2" t="str">
        <f>"男"</f>
        <v>男</v>
      </c>
      <c r="D345" s="2" t="str">
        <f>"1997-12-09"</f>
        <v>1997-12-09</v>
      </c>
    </row>
    <row r="346" spans="1:4" ht="15.75" customHeight="1" x14ac:dyDescent="0.2">
      <c r="A346" s="2" t="s">
        <v>45</v>
      </c>
      <c r="B346" s="2" t="str">
        <f>"龚宝轩"</f>
        <v>龚宝轩</v>
      </c>
      <c r="C346" s="2" t="str">
        <f>"男"</f>
        <v>男</v>
      </c>
      <c r="D346" s="2" t="str">
        <f>"1998-08-01"</f>
        <v>1998-08-01</v>
      </c>
    </row>
    <row r="347" spans="1:4" ht="15.75" customHeight="1" x14ac:dyDescent="0.2">
      <c r="A347" s="2" t="s">
        <v>12</v>
      </c>
      <c r="B347" s="2" t="str">
        <f>"朱艳艳 "</f>
        <v xml:space="preserve">朱艳艳 </v>
      </c>
      <c r="C347" s="2" t="str">
        <f>"女"</f>
        <v>女</v>
      </c>
      <c r="D347" s="2" t="str">
        <f>"1990-10-01"</f>
        <v>1990-10-01</v>
      </c>
    </row>
    <row r="348" spans="1:4" ht="15.75" customHeight="1" x14ac:dyDescent="0.2">
      <c r="A348" s="2" t="s">
        <v>29</v>
      </c>
      <c r="B348" s="2" t="str">
        <f>"汪炜"</f>
        <v>汪炜</v>
      </c>
      <c r="C348" s="2" t="str">
        <f>"女"</f>
        <v>女</v>
      </c>
      <c r="D348" s="2" t="str">
        <f>"1993-11-27"</f>
        <v>1993-11-27</v>
      </c>
    </row>
    <row r="349" spans="1:4" ht="15.75" customHeight="1" x14ac:dyDescent="0.2">
      <c r="A349" s="2" t="s">
        <v>14</v>
      </c>
      <c r="B349" s="2" t="str">
        <f>"高菊梅"</f>
        <v>高菊梅</v>
      </c>
      <c r="C349" s="2" t="str">
        <f>"女"</f>
        <v>女</v>
      </c>
      <c r="D349" s="2" t="str">
        <f>"1999-11-09"</f>
        <v>1999-11-09</v>
      </c>
    </row>
    <row r="350" spans="1:4" ht="15.75" customHeight="1" x14ac:dyDescent="0.2">
      <c r="A350" s="2" t="s">
        <v>58</v>
      </c>
      <c r="B350" s="2" t="str">
        <f>"何家萁"</f>
        <v>何家萁</v>
      </c>
      <c r="C350" s="2" t="str">
        <f>"女"</f>
        <v>女</v>
      </c>
      <c r="D350" s="2" t="str">
        <f>"1994-08-21"</f>
        <v>1994-08-21</v>
      </c>
    </row>
    <row r="351" spans="1:4" ht="15.75" customHeight="1" x14ac:dyDescent="0.2">
      <c r="A351" s="2" t="s">
        <v>20</v>
      </c>
      <c r="B351" s="2" t="str">
        <f>"施寰"</f>
        <v>施寰</v>
      </c>
      <c r="C351" s="2" t="str">
        <f>"男"</f>
        <v>男</v>
      </c>
      <c r="D351" s="2" t="str">
        <f>"1994-02-13"</f>
        <v>1994-02-13</v>
      </c>
    </row>
    <row r="352" spans="1:4" ht="15.75" customHeight="1" x14ac:dyDescent="0.2">
      <c r="A352" s="2" t="s">
        <v>13</v>
      </c>
      <c r="B352" s="2" t="str">
        <f>"周莲君"</f>
        <v>周莲君</v>
      </c>
      <c r="C352" s="2" t="str">
        <f>"女"</f>
        <v>女</v>
      </c>
      <c r="D352" s="2" t="str">
        <f>"1993-01-02"</f>
        <v>1993-01-02</v>
      </c>
    </row>
    <row r="353" spans="1:4" ht="15.75" customHeight="1" x14ac:dyDescent="0.2">
      <c r="A353" s="2" t="s">
        <v>36</v>
      </c>
      <c r="B353" s="2" t="str">
        <f>"郑涛"</f>
        <v>郑涛</v>
      </c>
      <c r="C353" s="2" t="str">
        <f>"男"</f>
        <v>男</v>
      </c>
      <c r="D353" s="2" t="str">
        <f>"1998-07-17"</f>
        <v>1998-07-17</v>
      </c>
    </row>
    <row r="354" spans="1:4" ht="15.75" customHeight="1" x14ac:dyDescent="0.2">
      <c r="A354" s="2" t="s">
        <v>63</v>
      </c>
      <c r="B354" s="2" t="str">
        <f>"余婷"</f>
        <v>余婷</v>
      </c>
      <c r="C354" s="2" t="str">
        <f>"女"</f>
        <v>女</v>
      </c>
      <c r="D354" s="2" t="str">
        <f>"1993-01-03"</f>
        <v>1993-01-03</v>
      </c>
    </row>
    <row r="355" spans="1:4" ht="15.75" customHeight="1" x14ac:dyDescent="0.2">
      <c r="A355" s="2" t="s">
        <v>24</v>
      </c>
      <c r="B355" s="2" t="str">
        <f>"赵雪"</f>
        <v>赵雪</v>
      </c>
      <c r="C355" s="2" t="str">
        <f>"女"</f>
        <v>女</v>
      </c>
      <c r="D355" s="2" t="str">
        <f>"1988-11-07"</f>
        <v>1988-11-07</v>
      </c>
    </row>
    <row r="356" spans="1:4" ht="15.75" customHeight="1" x14ac:dyDescent="0.2">
      <c r="A356" s="2" t="s">
        <v>13</v>
      </c>
      <c r="B356" s="2" t="str">
        <f>"胡洋"</f>
        <v>胡洋</v>
      </c>
      <c r="C356" s="2" t="str">
        <f>"女"</f>
        <v>女</v>
      </c>
      <c r="D356" s="2" t="str">
        <f>"1987-05-21"</f>
        <v>1987-05-21</v>
      </c>
    </row>
    <row r="357" spans="1:4" ht="15.75" customHeight="1" x14ac:dyDescent="0.2">
      <c r="A357" s="2" t="s">
        <v>55</v>
      </c>
      <c r="B357" s="2" t="str">
        <f>"蹇国庆"</f>
        <v>蹇国庆</v>
      </c>
      <c r="C357" s="2" t="str">
        <f>"男"</f>
        <v>男</v>
      </c>
      <c r="D357" s="2" t="str">
        <f>"1997-10-02"</f>
        <v>1997-10-02</v>
      </c>
    </row>
    <row r="358" spans="1:4" ht="15.75" customHeight="1" x14ac:dyDescent="0.2">
      <c r="A358" s="2" t="s">
        <v>12</v>
      </c>
      <c r="B358" s="2" t="str">
        <f>"李银霜"</f>
        <v>李银霜</v>
      </c>
      <c r="C358" s="2" t="str">
        <f>"女"</f>
        <v>女</v>
      </c>
      <c r="D358" s="2" t="str">
        <f>"1998-10-24"</f>
        <v>1998-10-24</v>
      </c>
    </row>
    <row r="359" spans="1:4" ht="15.75" customHeight="1" x14ac:dyDescent="0.2">
      <c r="A359" s="2" t="s">
        <v>29</v>
      </c>
      <c r="B359" s="2" t="str">
        <f>"李玉莲"</f>
        <v>李玉莲</v>
      </c>
      <c r="C359" s="2" t="str">
        <f>"女"</f>
        <v>女</v>
      </c>
      <c r="D359" s="2" t="str">
        <f>"1999-03-22"</f>
        <v>1999-03-22</v>
      </c>
    </row>
    <row r="360" spans="1:4" ht="15.75" customHeight="1" x14ac:dyDescent="0.2">
      <c r="A360" s="2" t="s">
        <v>22</v>
      </c>
      <c r="B360" s="2" t="str">
        <f>"姚虎良"</f>
        <v>姚虎良</v>
      </c>
      <c r="C360" s="2" t="str">
        <f>"男"</f>
        <v>男</v>
      </c>
      <c r="D360" s="2" t="str">
        <f>"1995-12-26"</f>
        <v>1995-12-26</v>
      </c>
    </row>
    <row r="361" spans="1:4" ht="15.75" customHeight="1" x14ac:dyDescent="0.2">
      <c r="A361" s="2" t="s">
        <v>31</v>
      </c>
      <c r="B361" s="2" t="str">
        <f>"何旭"</f>
        <v>何旭</v>
      </c>
      <c r="C361" s="2" t="str">
        <f>"男"</f>
        <v>男</v>
      </c>
      <c r="D361" s="2" t="str">
        <f>"1988-10-07"</f>
        <v>1988-10-07</v>
      </c>
    </row>
    <row r="362" spans="1:4" ht="15.75" customHeight="1" x14ac:dyDescent="0.2">
      <c r="A362" s="2" t="s">
        <v>24</v>
      </c>
      <c r="B362" s="2" t="str">
        <f>"游宇帆"</f>
        <v>游宇帆</v>
      </c>
      <c r="C362" s="2" t="str">
        <f>"女"</f>
        <v>女</v>
      </c>
      <c r="D362" s="2" t="str">
        <f>"1992-05-23"</f>
        <v>1992-05-23</v>
      </c>
    </row>
    <row r="363" spans="1:4" ht="15.75" customHeight="1" x14ac:dyDescent="0.2">
      <c r="A363" s="2" t="s">
        <v>42</v>
      </c>
      <c r="B363" s="2" t="str">
        <f>"王萌"</f>
        <v>王萌</v>
      </c>
      <c r="C363" s="2" t="str">
        <f>"男"</f>
        <v>男</v>
      </c>
      <c r="D363" s="2" t="str">
        <f>"1989-06-16"</f>
        <v>1989-06-16</v>
      </c>
    </row>
    <row r="364" spans="1:4" ht="15.75" customHeight="1" x14ac:dyDescent="0.2">
      <c r="A364" s="2" t="s">
        <v>61</v>
      </c>
      <c r="B364" s="2" t="str">
        <f>"何静怡"</f>
        <v>何静怡</v>
      </c>
      <c r="C364" s="2" t="str">
        <f>"女"</f>
        <v>女</v>
      </c>
      <c r="D364" s="2" t="str">
        <f>"1997-05-08"</f>
        <v>1997-05-08</v>
      </c>
    </row>
    <row r="365" spans="1:4" ht="15.75" customHeight="1" x14ac:dyDescent="0.2">
      <c r="A365" s="2" t="s">
        <v>48</v>
      </c>
      <c r="B365" s="2" t="str">
        <f>"刘慧敏"</f>
        <v>刘慧敏</v>
      </c>
      <c r="C365" s="2" t="str">
        <f>"女"</f>
        <v>女</v>
      </c>
      <c r="D365" s="2" t="str">
        <f>"1997-03-07"</f>
        <v>1997-03-07</v>
      </c>
    </row>
    <row r="366" spans="1:4" ht="15.75" customHeight="1" x14ac:dyDescent="0.2">
      <c r="A366" s="2" t="s">
        <v>13</v>
      </c>
      <c r="B366" s="2" t="str">
        <f>"李梦颖"</f>
        <v>李梦颖</v>
      </c>
      <c r="C366" s="2" t="str">
        <f>"女"</f>
        <v>女</v>
      </c>
      <c r="D366" s="2" t="str">
        <f>"1997-08-15"</f>
        <v>1997-08-15</v>
      </c>
    </row>
    <row r="367" spans="1:4" ht="15.75" customHeight="1" x14ac:dyDescent="0.2">
      <c r="A367" s="2" t="s">
        <v>37</v>
      </c>
      <c r="B367" s="2" t="str">
        <f>"高金国"</f>
        <v>高金国</v>
      </c>
      <c r="C367" s="2" t="str">
        <f>"男"</f>
        <v>男</v>
      </c>
      <c r="D367" s="2" t="str">
        <f>"1993-07-07"</f>
        <v>1993-07-07</v>
      </c>
    </row>
    <row r="368" spans="1:4" ht="15.75" customHeight="1" x14ac:dyDescent="0.2">
      <c r="A368" s="2" t="s">
        <v>17</v>
      </c>
      <c r="B368" s="2" t="str">
        <f>"张丽"</f>
        <v>张丽</v>
      </c>
      <c r="C368" s="2" t="str">
        <f>"女"</f>
        <v>女</v>
      </c>
      <c r="D368" s="2" t="str">
        <f>"1986-08-14"</f>
        <v>1986-08-14</v>
      </c>
    </row>
    <row r="369" spans="1:4" ht="15.75" customHeight="1" x14ac:dyDescent="0.2">
      <c r="A369" s="2" t="s">
        <v>71</v>
      </c>
      <c r="B369" s="2" t="str">
        <f>"刘颜铭"</f>
        <v>刘颜铭</v>
      </c>
      <c r="C369" s="2" t="str">
        <f>"女"</f>
        <v>女</v>
      </c>
      <c r="D369" s="2" t="str">
        <f>"1997-08-21"</f>
        <v>1997-08-21</v>
      </c>
    </row>
    <row r="370" spans="1:4" ht="15.75" customHeight="1" x14ac:dyDescent="0.2">
      <c r="A370" s="2" t="s">
        <v>50</v>
      </c>
      <c r="B370" s="2" t="str">
        <f>"刘雨薇"</f>
        <v>刘雨薇</v>
      </c>
      <c r="C370" s="2" t="str">
        <f>"女"</f>
        <v>女</v>
      </c>
      <c r="D370" s="2" t="str">
        <f>"1996-05-13"</f>
        <v>1996-05-13</v>
      </c>
    </row>
    <row r="371" spans="1:4" ht="15.75" customHeight="1" x14ac:dyDescent="0.2">
      <c r="A371" s="2" t="s">
        <v>14</v>
      </c>
      <c r="B371" s="2" t="str">
        <f>"刘梦娇"</f>
        <v>刘梦娇</v>
      </c>
      <c r="C371" s="2" t="str">
        <f>"女"</f>
        <v>女</v>
      </c>
      <c r="D371" s="2" t="str">
        <f>"1998-07-26"</f>
        <v>1998-07-26</v>
      </c>
    </row>
    <row r="372" spans="1:4" ht="15.75" customHeight="1" x14ac:dyDescent="0.2">
      <c r="A372" s="2" t="s">
        <v>13</v>
      </c>
      <c r="B372" s="2" t="str">
        <f>"王钎钎"</f>
        <v>王钎钎</v>
      </c>
      <c r="C372" s="2" t="str">
        <f>"女"</f>
        <v>女</v>
      </c>
      <c r="D372" s="2" t="str">
        <f>"1989-09-01"</f>
        <v>1989-09-01</v>
      </c>
    </row>
    <row r="373" spans="1:4" ht="15.75" customHeight="1" x14ac:dyDescent="0.2">
      <c r="A373" s="2" t="s">
        <v>22</v>
      </c>
      <c r="B373" s="2" t="str">
        <f>"刘津利"</f>
        <v>刘津利</v>
      </c>
      <c r="C373" s="2" t="str">
        <f>"男"</f>
        <v>男</v>
      </c>
      <c r="D373" s="2" t="str">
        <f>"1995-08-16"</f>
        <v>1995-08-16</v>
      </c>
    </row>
    <row r="374" spans="1:4" ht="15.75" customHeight="1" x14ac:dyDescent="0.2">
      <c r="A374" s="2" t="s">
        <v>8</v>
      </c>
      <c r="B374" s="2" t="str">
        <f>"雷娟"</f>
        <v>雷娟</v>
      </c>
      <c r="C374" s="2" t="str">
        <f>"女"</f>
        <v>女</v>
      </c>
      <c r="D374" s="2" t="str">
        <f>"1997-07-24"</f>
        <v>1997-07-24</v>
      </c>
    </row>
    <row r="375" spans="1:4" ht="15.75" customHeight="1" x14ac:dyDescent="0.2">
      <c r="A375" s="2" t="s">
        <v>42</v>
      </c>
      <c r="B375" s="2" t="str">
        <f>"陈世凯"</f>
        <v>陈世凯</v>
      </c>
      <c r="C375" s="2" t="str">
        <f>"男"</f>
        <v>男</v>
      </c>
      <c r="D375" s="2" t="str">
        <f>"1994-10-01"</f>
        <v>1994-10-01</v>
      </c>
    </row>
    <row r="376" spans="1:4" ht="15.75" customHeight="1" x14ac:dyDescent="0.2">
      <c r="A376" s="2" t="s">
        <v>20</v>
      </c>
      <c r="B376" s="2" t="str">
        <f>"赵胜"</f>
        <v>赵胜</v>
      </c>
      <c r="C376" s="2" t="str">
        <f>"男"</f>
        <v>男</v>
      </c>
      <c r="D376" s="2" t="str">
        <f>"1997-10-30"</f>
        <v>1997-10-30</v>
      </c>
    </row>
    <row r="377" spans="1:4" ht="15.75" customHeight="1" x14ac:dyDescent="0.2">
      <c r="A377" s="2" t="s">
        <v>65</v>
      </c>
      <c r="B377" s="2" t="str">
        <f>"全芷萱"</f>
        <v>全芷萱</v>
      </c>
      <c r="C377" s="2" t="str">
        <f>"女"</f>
        <v>女</v>
      </c>
      <c r="D377" s="2" t="str">
        <f>"1996-02-27"</f>
        <v>1996-02-27</v>
      </c>
    </row>
    <row r="378" spans="1:4" ht="15.75" customHeight="1" x14ac:dyDescent="0.2">
      <c r="A378" s="2" t="s">
        <v>68</v>
      </c>
      <c r="B378" s="2" t="str">
        <f>"陈宜文"</f>
        <v>陈宜文</v>
      </c>
      <c r="C378" s="2" t="str">
        <f>"女"</f>
        <v>女</v>
      </c>
      <c r="D378" s="2" t="str">
        <f>"1999-02-25"</f>
        <v>1999-02-25</v>
      </c>
    </row>
    <row r="379" spans="1:4" ht="15.75" customHeight="1" x14ac:dyDescent="0.2">
      <c r="A379" s="2" t="s">
        <v>43</v>
      </c>
      <c r="B379" s="2" t="str">
        <f>"孟超"</f>
        <v>孟超</v>
      </c>
      <c r="C379" s="2" t="str">
        <f t="shared" ref="C379:C384" si="9">"男"</f>
        <v>男</v>
      </c>
      <c r="D379" s="2" t="str">
        <f>"1993-06-11"</f>
        <v>1993-06-11</v>
      </c>
    </row>
    <row r="380" spans="1:4" ht="15.75" customHeight="1" x14ac:dyDescent="0.2">
      <c r="A380" s="2" t="s">
        <v>29</v>
      </c>
      <c r="B380" s="2" t="str">
        <f>"李一峰"</f>
        <v>李一峰</v>
      </c>
      <c r="C380" s="2" t="str">
        <f t="shared" si="9"/>
        <v>男</v>
      </c>
      <c r="D380" s="2" t="str">
        <f>"1997-09-08"</f>
        <v>1997-09-08</v>
      </c>
    </row>
    <row r="381" spans="1:4" ht="15.75" customHeight="1" x14ac:dyDescent="0.2">
      <c r="A381" s="2" t="s">
        <v>22</v>
      </c>
      <c r="B381" s="2" t="str">
        <f>"武坷伟"</f>
        <v>武坷伟</v>
      </c>
      <c r="C381" s="2" t="str">
        <f t="shared" si="9"/>
        <v>男</v>
      </c>
      <c r="D381" s="2" t="str">
        <f>"1994-07-13"</f>
        <v>1994-07-13</v>
      </c>
    </row>
    <row r="382" spans="1:4" ht="15.75" customHeight="1" x14ac:dyDescent="0.2">
      <c r="A382" s="2" t="s">
        <v>49</v>
      </c>
      <c r="B382" s="2" t="str">
        <f>"左飞"</f>
        <v>左飞</v>
      </c>
      <c r="C382" s="2" t="str">
        <f t="shared" si="9"/>
        <v>男</v>
      </c>
      <c r="D382" s="2" t="str">
        <f>"1991-05-10"</f>
        <v>1991-05-10</v>
      </c>
    </row>
    <row r="383" spans="1:4" ht="15.75" customHeight="1" x14ac:dyDescent="0.2">
      <c r="A383" s="2" t="s">
        <v>30</v>
      </c>
      <c r="B383" s="2" t="str">
        <f>"王光国 "</f>
        <v xml:space="preserve">王光国 </v>
      </c>
      <c r="C383" s="2" t="str">
        <f t="shared" si="9"/>
        <v>男</v>
      </c>
      <c r="D383" s="2" t="str">
        <f>"1993-10-18"</f>
        <v>1993-10-18</v>
      </c>
    </row>
    <row r="384" spans="1:4" ht="15.75" customHeight="1" x14ac:dyDescent="0.2">
      <c r="A384" s="2" t="s">
        <v>19</v>
      </c>
      <c r="B384" s="2" t="str">
        <f>"王毅谭"</f>
        <v>王毅谭</v>
      </c>
      <c r="C384" s="2" t="str">
        <f t="shared" si="9"/>
        <v>男</v>
      </c>
      <c r="D384" s="2" t="str">
        <f>"1991-12-01"</f>
        <v>1991-12-01</v>
      </c>
    </row>
    <row r="385" spans="1:4" ht="15.75" customHeight="1" x14ac:dyDescent="0.2">
      <c r="A385" s="2" t="s">
        <v>46</v>
      </c>
      <c r="B385" s="2" t="str">
        <f>"王与时"</f>
        <v>王与时</v>
      </c>
      <c r="C385" s="2" t="str">
        <f>"女"</f>
        <v>女</v>
      </c>
      <c r="D385" s="2" t="str">
        <f>"1996-12-03"</f>
        <v>1996-12-03</v>
      </c>
    </row>
    <row r="386" spans="1:4" ht="15.75" customHeight="1" x14ac:dyDescent="0.2">
      <c r="A386" s="2" t="s">
        <v>28</v>
      </c>
      <c r="B386" s="2" t="str">
        <f>"邵国根"</f>
        <v>邵国根</v>
      </c>
      <c r="C386" s="2" t="str">
        <f>"男"</f>
        <v>男</v>
      </c>
      <c r="D386" s="2" t="str">
        <f>"1992-07-17"</f>
        <v>1992-07-17</v>
      </c>
    </row>
    <row r="387" spans="1:4" ht="15.75" customHeight="1" x14ac:dyDescent="0.2">
      <c r="A387" s="2" t="s">
        <v>15</v>
      </c>
      <c r="B387" s="2" t="str">
        <f>"陈猛"</f>
        <v>陈猛</v>
      </c>
      <c r="C387" s="2" t="str">
        <f>"男"</f>
        <v>男</v>
      </c>
      <c r="D387" s="2" t="str">
        <f>"1987-08-27"</f>
        <v>1987-08-27</v>
      </c>
    </row>
    <row r="388" spans="1:4" ht="15.75" customHeight="1" x14ac:dyDescent="0.2">
      <c r="A388" s="2" t="s">
        <v>14</v>
      </c>
      <c r="B388" s="2" t="str">
        <f>"黄倩雯"</f>
        <v>黄倩雯</v>
      </c>
      <c r="C388" s="2" t="str">
        <f>"女"</f>
        <v>女</v>
      </c>
      <c r="D388" s="2" t="str">
        <f>"2000-06-23"</f>
        <v>2000-06-23</v>
      </c>
    </row>
    <row r="389" spans="1:4" ht="15.75" customHeight="1" x14ac:dyDescent="0.2">
      <c r="A389" s="2" t="s">
        <v>63</v>
      </c>
      <c r="B389" s="2" t="str">
        <f>"姜子纯"</f>
        <v>姜子纯</v>
      </c>
      <c r="C389" s="2" t="str">
        <f>"女"</f>
        <v>女</v>
      </c>
      <c r="D389" s="2" t="str">
        <f>"1998-08-16"</f>
        <v>1998-08-16</v>
      </c>
    </row>
    <row r="390" spans="1:4" ht="15.75" customHeight="1" x14ac:dyDescent="0.2">
      <c r="A390" s="2" t="s">
        <v>21</v>
      </c>
      <c r="B390" s="2" t="str">
        <f>"向洋宏"</f>
        <v>向洋宏</v>
      </c>
      <c r="C390" s="2" t="str">
        <f>"女"</f>
        <v>女</v>
      </c>
      <c r="D390" s="2" t="str">
        <f>"1992-03-21"</f>
        <v>1992-03-21</v>
      </c>
    </row>
    <row r="391" spans="1:4" ht="15.75" customHeight="1" x14ac:dyDescent="0.2">
      <c r="A391" s="2" t="s">
        <v>55</v>
      </c>
      <c r="B391" s="2" t="str">
        <f>"汪政"</f>
        <v>汪政</v>
      </c>
      <c r="C391" s="2" t="str">
        <f>"男"</f>
        <v>男</v>
      </c>
      <c r="D391" s="2" t="str">
        <f>"1992-08-26"</f>
        <v>1992-08-26</v>
      </c>
    </row>
    <row r="392" spans="1:4" ht="15.75" customHeight="1" x14ac:dyDescent="0.2">
      <c r="A392" s="2" t="s">
        <v>55</v>
      </c>
      <c r="B392" s="2" t="str">
        <f>"王金祥"</f>
        <v>王金祥</v>
      </c>
      <c r="C392" s="2" t="str">
        <f>"男"</f>
        <v>男</v>
      </c>
      <c r="D392" s="2" t="str">
        <f>"1991-05-27"</f>
        <v>1991-05-27</v>
      </c>
    </row>
    <row r="393" spans="1:4" ht="15.75" customHeight="1" x14ac:dyDescent="0.2">
      <c r="A393" s="2" t="s">
        <v>8</v>
      </c>
      <c r="B393" s="2" t="str">
        <f>"洪霞平"</f>
        <v>洪霞平</v>
      </c>
      <c r="C393" s="2" t="str">
        <f>"女"</f>
        <v>女</v>
      </c>
      <c r="D393" s="2" t="str">
        <f>"1987-09-08"</f>
        <v>1987-09-08</v>
      </c>
    </row>
    <row r="394" spans="1:4" ht="15.75" customHeight="1" x14ac:dyDescent="0.2">
      <c r="A394" s="2" t="s">
        <v>70</v>
      </c>
      <c r="B394" s="2" t="str">
        <f>"刘芷麟"</f>
        <v>刘芷麟</v>
      </c>
      <c r="C394" s="2" t="str">
        <f>"女"</f>
        <v>女</v>
      </c>
      <c r="D394" s="2" t="str">
        <f>"1997-02-21"</f>
        <v>1997-02-21</v>
      </c>
    </row>
    <row r="395" spans="1:4" ht="15.75" customHeight="1" x14ac:dyDescent="0.2">
      <c r="A395" s="2" t="s">
        <v>13</v>
      </c>
      <c r="B395" s="2" t="str">
        <f>"邓宇"</f>
        <v>邓宇</v>
      </c>
      <c r="C395" s="2" t="str">
        <f>"女"</f>
        <v>女</v>
      </c>
      <c r="D395" s="2" t="str">
        <f>"1998-10-19"</f>
        <v>1998-10-19</v>
      </c>
    </row>
    <row r="396" spans="1:4" ht="15.75" customHeight="1" x14ac:dyDescent="0.2">
      <c r="A396" s="2" t="s">
        <v>11</v>
      </c>
      <c r="B396" s="2" t="str">
        <f>"易中亮"</f>
        <v>易中亮</v>
      </c>
      <c r="C396" s="2" t="str">
        <f>"男"</f>
        <v>男</v>
      </c>
      <c r="D396" s="2" t="str">
        <f>"1991-11-16"</f>
        <v>1991-11-16</v>
      </c>
    </row>
    <row r="397" spans="1:4" ht="15.75" customHeight="1" x14ac:dyDescent="0.2">
      <c r="A397" s="2" t="s">
        <v>8</v>
      </c>
      <c r="B397" s="2" t="str">
        <f>"黄敏"</f>
        <v>黄敏</v>
      </c>
      <c r="C397" s="2" t="str">
        <f>"男"</f>
        <v>男</v>
      </c>
      <c r="D397" s="2" t="str">
        <f>"1987-11-25"</f>
        <v>1987-11-25</v>
      </c>
    </row>
    <row r="398" spans="1:4" ht="15.75" customHeight="1" x14ac:dyDescent="0.2">
      <c r="A398" s="2" t="s">
        <v>24</v>
      </c>
      <c r="B398" s="2" t="str">
        <f>"宋海蓉"</f>
        <v>宋海蓉</v>
      </c>
      <c r="C398" s="2" t="str">
        <f>"女"</f>
        <v>女</v>
      </c>
      <c r="D398" s="2" t="str">
        <f>"1989-10-09"</f>
        <v>1989-10-09</v>
      </c>
    </row>
    <row r="399" spans="1:4" ht="15.75" customHeight="1" x14ac:dyDescent="0.2">
      <c r="A399" s="2" t="s">
        <v>29</v>
      </c>
      <c r="B399" s="2" t="str">
        <f>"陈倩"</f>
        <v>陈倩</v>
      </c>
      <c r="C399" s="2" t="str">
        <f>"女"</f>
        <v>女</v>
      </c>
      <c r="D399" s="2" t="str">
        <f>"1992-06-28"</f>
        <v>1992-06-28</v>
      </c>
    </row>
    <row r="400" spans="1:4" ht="15.75" customHeight="1" x14ac:dyDescent="0.2">
      <c r="A400" s="2" t="s">
        <v>43</v>
      </c>
      <c r="B400" s="2" t="str">
        <f>"李松林"</f>
        <v>李松林</v>
      </c>
      <c r="C400" s="2" t="str">
        <f>"男"</f>
        <v>男</v>
      </c>
      <c r="D400" s="2" t="str">
        <f>"1989-09-10"</f>
        <v>1989-09-10</v>
      </c>
    </row>
    <row r="401" spans="1:4" ht="15.75" customHeight="1" x14ac:dyDescent="0.2">
      <c r="A401" s="2" t="s">
        <v>22</v>
      </c>
      <c r="B401" s="2" t="str">
        <f>"覃勉"</f>
        <v>覃勉</v>
      </c>
      <c r="C401" s="2" t="str">
        <f>"男"</f>
        <v>男</v>
      </c>
      <c r="D401" s="2" t="str">
        <f>"1999-01-10"</f>
        <v>1999-01-10</v>
      </c>
    </row>
    <row r="402" spans="1:4" ht="15.75" customHeight="1" x14ac:dyDescent="0.2">
      <c r="A402" s="2" t="s">
        <v>12</v>
      </c>
      <c r="B402" s="2" t="str">
        <f>"高志清"</f>
        <v>高志清</v>
      </c>
      <c r="C402" s="2" t="str">
        <f>"女"</f>
        <v>女</v>
      </c>
      <c r="D402" s="2" t="str">
        <f>"1989-02-21"</f>
        <v>1989-02-21</v>
      </c>
    </row>
    <row r="403" spans="1:4" ht="15.75" customHeight="1" x14ac:dyDescent="0.2">
      <c r="A403" s="2" t="s">
        <v>33</v>
      </c>
      <c r="B403" s="2" t="str">
        <f>"唐玲"</f>
        <v>唐玲</v>
      </c>
      <c r="C403" s="2" t="str">
        <f>"女"</f>
        <v>女</v>
      </c>
      <c r="D403" s="2" t="str">
        <f>"1990-10-01"</f>
        <v>1990-10-01</v>
      </c>
    </row>
    <row r="404" spans="1:4" ht="15.75" customHeight="1" x14ac:dyDescent="0.2">
      <c r="A404" s="2" t="s">
        <v>43</v>
      </c>
      <c r="B404" s="2" t="str">
        <f>"刘丽丽"</f>
        <v>刘丽丽</v>
      </c>
      <c r="C404" s="2" t="str">
        <f>"女"</f>
        <v>女</v>
      </c>
      <c r="D404" s="2" t="str">
        <f>"1989-09-15"</f>
        <v>1989-09-15</v>
      </c>
    </row>
    <row r="405" spans="1:4" ht="15.75" customHeight="1" x14ac:dyDescent="0.2">
      <c r="A405" s="2" t="s">
        <v>52</v>
      </c>
      <c r="B405" s="2" t="str">
        <f>"张婕"</f>
        <v>张婕</v>
      </c>
      <c r="C405" s="2" t="str">
        <f>"女"</f>
        <v>女</v>
      </c>
      <c r="D405" s="2" t="str">
        <f>"1994-06-21"</f>
        <v>1994-06-21</v>
      </c>
    </row>
    <row r="406" spans="1:4" ht="15.75" customHeight="1" x14ac:dyDescent="0.2">
      <c r="A406" s="2" t="s">
        <v>36</v>
      </c>
      <c r="B406" s="2" t="str">
        <f>"徐乔玉"</f>
        <v>徐乔玉</v>
      </c>
      <c r="C406" s="2" t="str">
        <f>"女"</f>
        <v>女</v>
      </c>
      <c r="D406" s="2" t="str">
        <f>"1991-06-26"</f>
        <v>1991-06-26</v>
      </c>
    </row>
    <row r="407" spans="1:4" ht="15.75" customHeight="1" x14ac:dyDescent="0.2">
      <c r="A407" s="2" t="s">
        <v>55</v>
      </c>
      <c r="B407" s="2" t="str">
        <f>"刘棋宇"</f>
        <v>刘棋宇</v>
      </c>
      <c r="C407" s="2" t="str">
        <f>"男"</f>
        <v>男</v>
      </c>
      <c r="D407" s="2" t="str">
        <f>"1993-05-18"</f>
        <v>1993-05-18</v>
      </c>
    </row>
    <row r="408" spans="1:4" ht="15.75" customHeight="1" x14ac:dyDescent="0.2">
      <c r="A408" s="2" t="s">
        <v>66</v>
      </c>
      <c r="B408" s="2" t="str">
        <f>"姚吉"</f>
        <v>姚吉</v>
      </c>
      <c r="C408" s="2" t="str">
        <f>"女"</f>
        <v>女</v>
      </c>
      <c r="D408" s="2" t="str">
        <f>"1992-08-07"</f>
        <v>1992-08-07</v>
      </c>
    </row>
    <row r="409" spans="1:4" ht="15.75" customHeight="1" x14ac:dyDescent="0.2">
      <c r="A409" s="2" t="s">
        <v>14</v>
      </c>
      <c r="B409" s="2" t="str">
        <f>"马荣"</f>
        <v>马荣</v>
      </c>
      <c r="C409" s="2" t="str">
        <f>"女"</f>
        <v>女</v>
      </c>
      <c r="D409" s="2" t="str">
        <f>"1998-11-19"</f>
        <v>1998-11-19</v>
      </c>
    </row>
    <row r="410" spans="1:4" ht="15.75" customHeight="1" x14ac:dyDescent="0.2">
      <c r="A410" s="2" t="s">
        <v>31</v>
      </c>
      <c r="B410" s="2" t="str">
        <f>"彭黎明"</f>
        <v>彭黎明</v>
      </c>
      <c r="C410" s="2" t="str">
        <f>"女"</f>
        <v>女</v>
      </c>
      <c r="D410" s="2" t="str">
        <f>"1991-10-25"</f>
        <v>1991-10-25</v>
      </c>
    </row>
    <row r="411" spans="1:4" ht="15.75" customHeight="1" x14ac:dyDescent="0.2">
      <c r="A411" s="2" t="s">
        <v>31</v>
      </c>
      <c r="B411" s="2" t="str">
        <f>"贺梦圆"</f>
        <v>贺梦圆</v>
      </c>
      <c r="C411" s="2" t="str">
        <f>"女"</f>
        <v>女</v>
      </c>
      <c r="D411" s="2" t="str">
        <f>"1999-10-21"</f>
        <v>1999-10-21</v>
      </c>
    </row>
    <row r="412" spans="1:4" ht="15.75" customHeight="1" x14ac:dyDescent="0.2">
      <c r="A412" s="2" t="s">
        <v>27</v>
      </c>
      <c r="B412" s="2" t="str">
        <f>"覃乔敏"</f>
        <v>覃乔敏</v>
      </c>
      <c r="C412" s="2" t="str">
        <f>"男"</f>
        <v>男</v>
      </c>
      <c r="D412" s="2" t="str">
        <f>"1997-11-21"</f>
        <v>1997-11-21</v>
      </c>
    </row>
    <row r="413" spans="1:4" ht="15.75" customHeight="1" x14ac:dyDescent="0.2">
      <c r="A413" s="2" t="s">
        <v>44</v>
      </c>
      <c r="B413" s="2" t="str">
        <f>"滕从妮"</f>
        <v>滕从妮</v>
      </c>
      <c r="C413" s="2" t="str">
        <f>"女"</f>
        <v>女</v>
      </c>
      <c r="D413" s="2" t="str">
        <f>"1989-08-30"</f>
        <v>1989-08-30</v>
      </c>
    </row>
    <row r="414" spans="1:4" ht="15.75" customHeight="1" x14ac:dyDescent="0.2">
      <c r="A414" s="2" t="s">
        <v>4</v>
      </c>
      <c r="B414" s="2" t="str">
        <f>"周嘉燊"</f>
        <v>周嘉燊</v>
      </c>
      <c r="C414" s="2" t="str">
        <f>"男"</f>
        <v>男</v>
      </c>
      <c r="D414" s="2" t="str">
        <f>"1997-10-21"</f>
        <v>1997-10-21</v>
      </c>
    </row>
    <row r="415" spans="1:4" ht="15.75" customHeight="1" x14ac:dyDescent="0.2">
      <c r="A415" s="2" t="s">
        <v>29</v>
      </c>
      <c r="B415" s="2" t="str">
        <f>"周扬"</f>
        <v>周扬</v>
      </c>
      <c r="C415" s="2" t="str">
        <f>"男"</f>
        <v>男</v>
      </c>
      <c r="D415" s="2" t="str">
        <f>"1993-09-06"</f>
        <v>1993-09-06</v>
      </c>
    </row>
    <row r="416" spans="1:4" ht="15.75" customHeight="1" x14ac:dyDescent="0.2">
      <c r="A416" s="2" t="s">
        <v>36</v>
      </c>
      <c r="B416" s="2" t="str">
        <f>"周敏"</f>
        <v>周敏</v>
      </c>
      <c r="C416" s="2" t="str">
        <f>"女"</f>
        <v>女</v>
      </c>
      <c r="D416" s="2" t="str">
        <f>"1997-06-21"</f>
        <v>1997-06-21</v>
      </c>
    </row>
    <row r="417" spans="1:4" ht="15.75" customHeight="1" x14ac:dyDescent="0.2">
      <c r="A417" s="2" t="s">
        <v>42</v>
      </c>
      <c r="B417" s="2" t="str">
        <f>"陈泓玮"</f>
        <v>陈泓玮</v>
      </c>
      <c r="C417" s="2" t="str">
        <f>"男"</f>
        <v>男</v>
      </c>
      <c r="D417" s="2" t="str">
        <f>"1989-02-18"</f>
        <v>1989-02-18</v>
      </c>
    </row>
    <row r="418" spans="1:4" ht="15.75" customHeight="1" x14ac:dyDescent="0.2">
      <c r="A418" s="2" t="s">
        <v>42</v>
      </c>
      <c r="B418" s="2" t="str">
        <f>"洪国奇"</f>
        <v>洪国奇</v>
      </c>
      <c r="C418" s="2" t="str">
        <f>"男"</f>
        <v>男</v>
      </c>
      <c r="D418" s="2" t="str">
        <f>"1999-01-03"</f>
        <v>1999-01-03</v>
      </c>
    </row>
    <row r="419" spans="1:4" ht="15.75" customHeight="1" x14ac:dyDescent="0.2">
      <c r="A419" s="2" t="s">
        <v>24</v>
      </c>
      <c r="B419" s="2" t="str">
        <f>"郝远辉"</f>
        <v>郝远辉</v>
      </c>
      <c r="C419" s="2" t="str">
        <f>"女"</f>
        <v>女</v>
      </c>
      <c r="D419" s="2" t="str">
        <f>"1998-03-10"</f>
        <v>1998-03-10</v>
      </c>
    </row>
    <row r="420" spans="1:4" ht="15.75" customHeight="1" x14ac:dyDescent="0.2">
      <c r="A420" s="2" t="s">
        <v>31</v>
      </c>
      <c r="B420" s="2" t="str">
        <f>"李恒乐"</f>
        <v>李恒乐</v>
      </c>
      <c r="C420" s="2" t="str">
        <f>"男"</f>
        <v>男</v>
      </c>
      <c r="D420" s="2" t="str">
        <f>"1989-01-09"</f>
        <v>1989-01-09</v>
      </c>
    </row>
    <row r="421" spans="1:4" ht="15.75" customHeight="1" x14ac:dyDescent="0.2">
      <c r="A421" s="2" t="s">
        <v>8</v>
      </c>
      <c r="B421" s="2" t="str">
        <f>"杨可"</f>
        <v>杨可</v>
      </c>
      <c r="C421" s="2" t="str">
        <f>"男"</f>
        <v>男</v>
      </c>
      <c r="D421" s="2" t="str">
        <f>"1988-08-06"</f>
        <v>1988-08-06</v>
      </c>
    </row>
    <row r="422" spans="1:4" ht="15.75" customHeight="1" x14ac:dyDescent="0.2">
      <c r="A422" s="2" t="s">
        <v>10</v>
      </c>
      <c r="B422" s="2" t="str">
        <f>"曾文涵"</f>
        <v>曾文涵</v>
      </c>
      <c r="C422" s="2" t="str">
        <f>"男"</f>
        <v>男</v>
      </c>
      <c r="D422" s="2" t="str">
        <f>"1996-01-25"</f>
        <v>1996-01-25</v>
      </c>
    </row>
    <row r="423" spans="1:4" ht="15.75" customHeight="1" x14ac:dyDescent="0.2">
      <c r="A423" s="2" t="s">
        <v>13</v>
      </c>
      <c r="B423" s="2" t="str">
        <f>"覃业鎏"</f>
        <v>覃业鎏</v>
      </c>
      <c r="C423" s="2" t="str">
        <f>"男"</f>
        <v>男</v>
      </c>
      <c r="D423" s="2" t="str">
        <f>"1998-05-10"</f>
        <v>1998-05-10</v>
      </c>
    </row>
    <row r="424" spans="1:4" ht="15.75" customHeight="1" x14ac:dyDescent="0.2">
      <c r="A424" s="2" t="s">
        <v>24</v>
      </c>
      <c r="B424" s="2" t="str">
        <f>"柳上飞"</f>
        <v>柳上飞</v>
      </c>
      <c r="C424" s="2" t="str">
        <f>"男"</f>
        <v>男</v>
      </c>
      <c r="D424" s="2" t="str">
        <f>"1993-05-09"</f>
        <v>1993-05-09</v>
      </c>
    </row>
    <row r="425" spans="1:4" ht="15.75" customHeight="1" x14ac:dyDescent="0.2">
      <c r="A425" s="2" t="s">
        <v>44</v>
      </c>
      <c r="B425" s="2" t="str">
        <f>"宋铭"</f>
        <v>宋铭</v>
      </c>
      <c r="C425" s="2" t="str">
        <f>"女"</f>
        <v>女</v>
      </c>
      <c r="D425" s="2" t="str">
        <f>"1990-08-16"</f>
        <v>1990-08-16</v>
      </c>
    </row>
    <row r="426" spans="1:4" ht="15.75" customHeight="1" x14ac:dyDescent="0.2">
      <c r="A426" s="2" t="s">
        <v>68</v>
      </c>
      <c r="B426" s="2" t="str">
        <f>"付清源"</f>
        <v>付清源</v>
      </c>
      <c r="C426" s="2" t="str">
        <f>"男"</f>
        <v>男</v>
      </c>
      <c r="D426" s="2" t="str">
        <f>"1998-03-09"</f>
        <v>1998-03-09</v>
      </c>
    </row>
    <row r="427" spans="1:4" ht="15.75" customHeight="1" x14ac:dyDescent="0.2">
      <c r="A427" s="2" t="s">
        <v>13</v>
      </c>
      <c r="B427" s="2" t="str">
        <f>"向彩鑫"</f>
        <v>向彩鑫</v>
      </c>
      <c r="C427" s="2" t="str">
        <f>"男"</f>
        <v>男</v>
      </c>
      <c r="D427" s="2" t="str">
        <f>"1996-11-23"</f>
        <v>1996-11-23</v>
      </c>
    </row>
    <row r="428" spans="1:4" ht="15.75" customHeight="1" x14ac:dyDescent="0.2">
      <c r="A428" s="2" t="s">
        <v>18</v>
      </c>
      <c r="B428" s="2" t="str">
        <f>"蔡洁萍"</f>
        <v>蔡洁萍</v>
      </c>
      <c r="C428" s="2" t="str">
        <f>"女"</f>
        <v>女</v>
      </c>
      <c r="D428" s="2" t="str">
        <f>"1989-11-18"</f>
        <v>1989-11-18</v>
      </c>
    </row>
    <row r="429" spans="1:4" ht="15.75" customHeight="1" x14ac:dyDescent="0.2">
      <c r="A429" s="2" t="s">
        <v>16</v>
      </c>
      <c r="B429" s="2" t="str">
        <f>"吴俊逸"</f>
        <v>吴俊逸</v>
      </c>
      <c r="C429" s="2" t="str">
        <f>"男"</f>
        <v>男</v>
      </c>
      <c r="D429" s="2" t="str">
        <f>"1994-12-18"</f>
        <v>1994-12-18</v>
      </c>
    </row>
    <row r="430" spans="1:4" ht="15.75" customHeight="1" x14ac:dyDescent="0.2">
      <c r="A430" s="2" t="s">
        <v>24</v>
      </c>
      <c r="B430" s="2" t="str">
        <f>"雷瑶"</f>
        <v>雷瑶</v>
      </c>
      <c r="C430" s="2" t="str">
        <f>"女"</f>
        <v>女</v>
      </c>
      <c r="D430" s="2" t="str">
        <f>"1987-02-01"</f>
        <v>1987-02-01</v>
      </c>
    </row>
    <row r="431" spans="1:4" ht="15.75" customHeight="1" x14ac:dyDescent="0.2">
      <c r="A431" s="2" t="s">
        <v>41</v>
      </c>
      <c r="B431" s="2" t="str">
        <f>"赵归"</f>
        <v>赵归</v>
      </c>
      <c r="C431" s="2" t="str">
        <f>"男"</f>
        <v>男</v>
      </c>
      <c r="D431" s="2" t="str">
        <f>"1998-03-02"</f>
        <v>1998-03-02</v>
      </c>
    </row>
    <row r="432" spans="1:4" ht="15.75" customHeight="1" x14ac:dyDescent="0.2">
      <c r="A432" s="2" t="s">
        <v>4</v>
      </c>
      <c r="B432" s="2" t="str">
        <f>"雷思维"</f>
        <v>雷思维</v>
      </c>
      <c r="C432" s="2" t="str">
        <f>"男"</f>
        <v>男</v>
      </c>
      <c r="D432" s="2" t="str">
        <f>"1993-10-25"</f>
        <v>1993-10-25</v>
      </c>
    </row>
    <row r="433" spans="1:4" ht="15.75" customHeight="1" x14ac:dyDescent="0.2">
      <c r="A433" s="2" t="s">
        <v>13</v>
      </c>
      <c r="B433" s="2" t="str">
        <f>"郭艳如"</f>
        <v>郭艳如</v>
      </c>
      <c r="C433" s="2" t="str">
        <f>"女"</f>
        <v>女</v>
      </c>
      <c r="D433" s="2" t="str">
        <f>"1998-05-12"</f>
        <v>1998-05-12</v>
      </c>
    </row>
    <row r="434" spans="1:4" ht="15.75" customHeight="1" x14ac:dyDescent="0.2">
      <c r="A434" s="2" t="s">
        <v>40</v>
      </c>
      <c r="B434" s="2" t="str">
        <f>"陈柳佳"</f>
        <v>陈柳佳</v>
      </c>
      <c r="C434" s="2" t="str">
        <f>"女"</f>
        <v>女</v>
      </c>
      <c r="D434" s="2" t="str">
        <f>"1996-09-29"</f>
        <v>1996-09-29</v>
      </c>
    </row>
    <row r="435" spans="1:4" ht="15.75" customHeight="1" x14ac:dyDescent="0.2">
      <c r="A435" s="2" t="s">
        <v>14</v>
      </c>
      <c r="B435" s="2" t="str">
        <f>"翦欢"</f>
        <v>翦欢</v>
      </c>
      <c r="C435" s="2" t="str">
        <f>"女"</f>
        <v>女</v>
      </c>
      <c r="D435" s="2" t="str">
        <f>"1996-11-10"</f>
        <v>1996-11-10</v>
      </c>
    </row>
    <row r="436" spans="1:4" ht="15.75" customHeight="1" x14ac:dyDescent="0.2">
      <c r="A436" s="2" t="s">
        <v>16</v>
      </c>
      <c r="B436" s="2" t="str">
        <f>"刘一奇"</f>
        <v>刘一奇</v>
      </c>
      <c r="C436" s="2" t="str">
        <f>"男"</f>
        <v>男</v>
      </c>
      <c r="D436" s="2" t="str">
        <f>"1994-07-18"</f>
        <v>1994-07-18</v>
      </c>
    </row>
    <row r="437" spans="1:4" ht="15.75" customHeight="1" x14ac:dyDescent="0.2">
      <c r="A437" s="2" t="s">
        <v>36</v>
      </c>
      <c r="B437" s="2" t="str">
        <f>"王婷"</f>
        <v>王婷</v>
      </c>
      <c r="C437" s="2" t="str">
        <f>"女"</f>
        <v>女</v>
      </c>
      <c r="D437" s="2" t="str">
        <f>"1995-09-12"</f>
        <v>1995-09-12</v>
      </c>
    </row>
    <row r="438" spans="1:4" ht="15.75" customHeight="1" x14ac:dyDescent="0.2">
      <c r="A438" s="2" t="s">
        <v>14</v>
      </c>
      <c r="B438" s="2" t="str">
        <f>"辛卓蔚"</f>
        <v>辛卓蔚</v>
      </c>
      <c r="C438" s="2" t="str">
        <f>"男"</f>
        <v>男</v>
      </c>
      <c r="D438" s="2" t="str">
        <f>"1989-06-30"</f>
        <v>1989-06-30</v>
      </c>
    </row>
    <row r="439" spans="1:4" ht="15.75" customHeight="1" x14ac:dyDescent="0.2">
      <c r="A439" s="2" t="s">
        <v>14</v>
      </c>
      <c r="B439" s="2" t="str">
        <f>"马从皓"</f>
        <v>马从皓</v>
      </c>
      <c r="C439" s="2" t="str">
        <f>"男"</f>
        <v>男</v>
      </c>
      <c r="D439" s="2" t="str">
        <f>"1990-09-04"</f>
        <v>1990-09-04</v>
      </c>
    </row>
    <row r="440" spans="1:4" ht="15.75" customHeight="1" x14ac:dyDescent="0.2">
      <c r="A440" s="2" t="s">
        <v>22</v>
      </c>
      <c r="B440" s="2" t="str">
        <f>"姚帅"</f>
        <v>姚帅</v>
      </c>
      <c r="C440" s="2" t="str">
        <f>"男"</f>
        <v>男</v>
      </c>
      <c r="D440" s="2" t="str">
        <f>"1998-01-17"</f>
        <v>1998-01-17</v>
      </c>
    </row>
    <row r="441" spans="1:4" ht="15.75" customHeight="1" x14ac:dyDescent="0.2">
      <c r="A441" s="2" t="s">
        <v>55</v>
      </c>
      <c r="B441" s="2" t="str">
        <f>"黄若霓"</f>
        <v>黄若霓</v>
      </c>
      <c r="C441" s="2" t="str">
        <f>"女"</f>
        <v>女</v>
      </c>
      <c r="D441" s="2" t="str">
        <f>"1993-11-09"</f>
        <v>1993-11-09</v>
      </c>
    </row>
    <row r="442" spans="1:4" ht="15.75" customHeight="1" x14ac:dyDescent="0.2">
      <c r="A442" s="2" t="s">
        <v>43</v>
      </c>
      <c r="B442" s="2" t="str">
        <f>"韩亚廷"</f>
        <v>韩亚廷</v>
      </c>
      <c r="C442" s="2" t="str">
        <f>"女"</f>
        <v>女</v>
      </c>
      <c r="D442" s="2" t="str">
        <f>"1994-04-13"</f>
        <v>1994-04-13</v>
      </c>
    </row>
    <row r="443" spans="1:4" ht="15.75" customHeight="1" x14ac:dyDescent="0.2">
      <c r="A443" s="2" t="s">
        <v>14</v>
      </c>
      <c r="B443" s="2" t="str">
        <f>"刘芙瑶"</f>
        <v>刘芙瑶</v>
      </c>
      <c r="C443" s="2" t="str">
        <f>"女"</f>
        <v>女</v>
      </c>
      <c r="D443" s="2" t="str">
        <f>"1998-01-11"</f>
        <v>1998-01-11</v>
      </c>
    </row>
    <row r="444" spans="1:4" ht="15.75" customHeight="1" x14ac:dyDescent="0.2">
      <c r="A444" s="2" t="s">
        <v>48</v>
      </c>
      <c r="B444" s="2" t="str">
        <f>"敬凤莲"</f>
        <v>敬凤莲</v>
      </c>
      <c r="C444" s="2" t="str">
        <f>"女"</f>
        <v>女</v>
      </c>
      <c r="D444" s="2" t="str">
        <f>"1994-12-08"</f>
        <v>1994-12-08</v>
      </c>
    </row>
    <row r="445" spans="1:4" ht="15.75" customHeight="1" x14ac:dyDescent="0.2">
      <c r="A445" s="2" t="s">
        <v>27</v>
      </c>
      <c r="B445" s="2" t="str">
        <f>"杨磊"</f>
        <v>杨磊</v>
      </c>
      <c r="C445" s="2" t="str">
        <f>"男"</f>
        <v>男</v>
      </c>
      <c r="D445" s="2" t="str">
        <f>"1995-03-01"</f>
        <v>1995-03-01</v>
      </c>
    </row>
    <row r="446" spans="1:4" ht="15.75" customHeight="1" x14ac:dyDescent="0.2">
      <c r="A446" s="2" t="s">
        <v>37</v>
      </c>
      <c r="B446" s="2" t="str">
        <f>"郑睿"</f>
        <v>郑睿</v>
      </c>
      <c r="C446" s="2" t="str">
        <f>"男"</f>
        <v>男</v>
      </c>
      <c r="D446" s="2" t="str">
        <f>"1991-09-27"</f>
        <v>1991-09-27</v>
      </c>
    </row>
    <row r="447" spans="1:4" ht="15.75" customHeight="1" x14ac:dyDescent="0.2">
      <c r="A447" s="2" t="s">
        <v>4</v>
      </c>
      <c r="B447" s="2" t="str">
        <f>"文滔"</f>
        <v>文滔</v>
      </c>
      <c r="C447" s="2" t="str">
        <f>"男"</f>
        <v>男</v>
      </c>
      <c r="D447" s="2" t="str">
        <f>"1997-10-14"</f>
        <v>1997-10-14</v>
      </c>
    </row>
    <row r="448" spans="1:4" ht="15.75" customHeight="1" x14ac:dyDescent="0.2">
      <c r="A448" s="2" t="s">
        <v>17</v>
      </c>
      <c r="B448" s="2" t="str">
        <f>"刘娟婵"</f>
        <v>刘娟婵</v>
      </c>
      <c r="C448" s="2" t="str">
        <f>"女"</f>
        <v>女</v>
      </c>
      <c r="D448" s="2" t="str">
        <f>"1991-07-30"</f>
        <v>1991-07-30</v>
      </c>
    </row>
    <row r="449" spans="1:4" ht="15.75" customHeight="1" x14ac:dyDescent="0.2">
      <c r="A449" s="2" t="s">
        <v>43</v>
      </c>
      <c r="B449" s="2" t="str">
        <f>"郑靖涛"</f>
        <v>郑靖涛</v>
      </c>
      <c r="C449" s="2" t="str">
        <f>"男"</f>
        <v>男</v>
      </c>
      <c r="D449" s="2" t="str">
        <f>"1998-06-20"</f>
        <v>1998-06-20</v>
      </c>
    </row>
    <row r="450" spans="1:4" ht="15.75" customHeight="1" x14ac:dyDescent="0.2">
      <c r="A450" s="2" t="s">
        <v>58</v>
      </c>
      <c r="B450" s="2" t="str">
        <f>"徐思雨"</f>
        <v>徐思雨</v>
      </c>
      <c r="C450" s="2" t="str">
        <f>"女"</f>
        <v>女</v>
      </c>
      <c r="D450" s="2" t="str">
        <f>"1996-11-08"</f>
        <v>1996-11-08</v>
      </c>
    </row>
    <row r="451" spans="1:4" ht="15.75" customHeight="1" x14ac:dyDescent="0.2">
      <c r="A451" s="2" t="s">
        <v>15</v>
      </c>
      <c r="B451" s="2" t="str">
        <f>"王蓉"</f>
        <v>王蓉</v>
      </c>
      <c r="C451" s="2" t="str">
        <f>"女"</f>
        <v>女</v>
      </c>
      <c r="D451" s="2" t="str">
        <f>"1990-03-27"</f>
        <v>1990-03-27</v>
      </c>
    </row>
    <row r="452" spans="1:4" ht="15.75" customHeight="1" x14ac:dyDescent="0.2">
      <c r="A452" s="2" t="s">
        <v>20</v>
      </c>
      <c r="B452" s="2" t="str">
        <f>"项章猜"</f>
        <v>项章猜</v>
      </c>
      <c r="C452" s="2" t="str">
        <f>"男"</f>
        <v>男</v>
      </c>
      <c r="D452" s="2" t="str">
        <f>"1996-06-17"</f>
        <v>1996-06-17</v>
      </c>
    </row>
    <row r="453" spans="1:4" ht="15.75" customHeight="1" x14ac:dyDescent="0.2">
      <c r="A453" s="2" t="s">
        <v>22</v>
      </c>
      <c r="B453" s="2" t="str">
        <f>"刘彦均"</f>
        <v>刘彦均</v>
      </c>
      <c r="C453" s="2" t="str">
        <f>"男"</f>
        <v>男</v>
      </c>
      <c r="D453" s="2" t="str">
        <f>"1991-11-01"</f>
        <v>1991-11-01</v>
      </c>
    </row>
    <row r="454" spans="1:4" ht="15.75" customHeight="1" x14ac:dyDescent="0.2">
      <c r="A454" s="2" t="s">
        <v>25</v>
      </c>
      <c r="B454" s="2" t="str">
        <f>"文瑶"</f>
        <v>文瑶</v>
      </c>
      <c r="C454" s="2" t="str">
        <f t="shared" ref="C454:C464" si="10">"女"</f>
        <v>女</v>
      </c>
      <c r="D454" s="2" t="str">
        <f>"1996-06-29"</f>
        <v>1996-06-29</v>
      </c>
    </row>
    <row r="455" spans="1:4" ht="15.75" customHeight="1" x14ac:dyDescent="0.2">
      <c r="A455" s="2" t="s">
        <v>10</v>
      </c>
      <c r="B455" s="2" t="str">
        <f>"陪彭佩仪"</f>
        <v>陪彭佩仪</v>
      </c>
      <c r="C455" s="2" t="str">
        <f t="shared" si="10"/>
        <v>女</v>
      </c>
      <c r="D455" s="2" t="str">
        <f>"1996-10-14"</f>
        <v>1996-10-14</v>
      </c>
    </row>
    <row r="456" spans="1:4" ht="15.75" customHeight="1" x14ac:dyDescent="0.2">
      <c r="A456" s="2" t="s">
        <v>36</v>
      </c>
      <c r="B456" s="2" t="str">
        <f>"杜颖"</f>
        <v>杜颖</v>
      </c>
      <c r="C456" s="2" t="str">
        <f t="shared" si="10"/>
        <v>女</v>
      </c>
      <c r="D456" s="2" t="str">
        <f>"1993-05-05"</f>
        <v>1993-05-05</v>
      </c>
    </row>
    <row r="457" spans="1:4" ht="15.75" customHeight="1" x14ac:dyDescent="0.2">
      <c r="A457" s="2" t="s">
        <v>50</v>
      </c>
      <c r="B457" s="2" t="str">
        <f>"樊佩"</f>
        <v>樊佩</v>
      </c>
      <c r="C457" s="2" t="str">
        <f t="shared" si="10"/>
        <v>女</v>
      </c>
      <c r="D457" s="2" t="str">
        <f>"1995-08-18"</f>
        <v>1995-08-18</v>
      </c>
    </row>
    <row r="458" spans="1:4" ht="15.75" customHeight="1" x14ac:dyDescent="0.2">
      <c r="A458" s="2" t="s">
        <v>36</v>
      </c>
      <c r="B458" s="2" t="str">
        <f>"丁灿"</f>
        <v>丁灿</v>
      </c>
      <c r="C458" s="2" t="str">
        <f t="shared" si="10"/>
        <v>女</v>
      </c>
      <c r="D458" s="2" t="str">
        <f>"1999-11-03"</f>
        <v>1999-11-03</v>
      </c>
    </row>
    <row r="459" spans="1:4" ht="15.75" customHeight="1" x14ac:dyDescent="0.2">
      <c r="A459" s="2" t="s">
        <v>24</v>
      </c>
      <c r="B459" s="2" t="str">
        <f>"姜雯"</f>
        <v>姜雯</v>
      </c>
      <c r="C459" s="2" t="str">
        <f t="shared" si="10"/>
        <v>女</v>
      </c>
      <c r="D459" s="2" t="str">
        <f>"1993-03-19"</f>
        <v>1993-03-19</v>
      </c>
    </row>
    <row r="460" spans="1:4" ht="15.75" customHeight="1" x14ac:dyDescent="0.2">
      <c r="A460" s="2" t="s">
        <v>46</v>
      </c>
      <c r="B460" s="2" t="str">
        <f>"姜自明"</f>
        <v>姜自明</v>
      </c>
      <c r="C460" s="2" t="str">
        <f t="shared" si="10"/>
        <v>女</v>
      </c>
      <c r="D460" s="2" t="str">
        <f>"1993-09-07"</f>
        <v>1993-09-07</v>
      </c>
    </row>
    <row r="461" spans="1:4" ht="15.75" customHeight="1" x14ac:dyDescent="0.2">
      <c r="A461" s="2" t="s">
        <v>29</v>
      </c>
      <c r="B461" s="2" t="str">
        <f>"傅亚雯"</f>
        <v>傅亚雯</v>
      </c>
      <c r="C461" s="2" t="str">
        <f t="shared" si="10"/>
        <v>女</v>
      </c>
      <c r="D461" s="2" t="str">
        <f>"1999-12-15"</f>
        <v>1999-12-15</v>
      </c>
    </row>
    <row r="462" spans="1:4" ht="15.75" customHeight="1" x14ac:dyDescent="0.2">
      <c r="A462" s="2" t="s">
        <v>40</v>
      </c>
      <c r="B462" s="2" t="str">
        <f>"王玲越"</f>
        <v>王玲越</v>
      </c>
      <c r="C462" s="2" t="str">
        <f t="shared" si="10"/>
        <v>女</v>
      </c>
      <c r="D462" s="2" t="str">
        <f>"1994-12-28"</f>
        <v>1994-12-28</v>
      </c>
    </row>
    <row r="463" spans="1:4" ht="15.75" customHeight="1" x14ac:dyDescent="0.2">
      <c r="A463" s="2" t="s">
        <v>72</v>
      </c>
      <c r="B463" s="2" t="str">
        <f>"罗海青"</f>
        <v>罗海青</v>
      </c>
      <c r="C463" s="2" t="str">
        <f t="shared" si="10"/>
        <v>女</v>
      </c>
      <c r="D463" s="2" t="str">
        <f>"1992-11-20"</f>
        <v>1992-11-20</v>
      </c>
    </row>
    <row r="464" spans="1:4" ht="15.75" customHeight="1" x14ac:dyDescent="0.2">
      <c r="A464" s="2" t="s">
        <v>30</v>
      </c>
      <c r="B464" s="2" t="str">
        <f>"甘元方"</f>
        <v>甘元方</v>
      </c>
      <c r="C464" s="2" t="str">
        <f t="shared" si="10"/>
        <v>女</v>
      </c>
      <c r="D464" s="2" t="str">
        <f>"1988-04-05"</f>
        <v>1988-04-05</v>
      </c>
    </row>
    <row r="465" spans="1:4" ht="15.75" customHeight="1" x14ac:dyDescent="0.2">
      <c r="A465" s="2" t="s">
        <v>26</v>
      </c>
      <c r="B465" s="2" t="str">
        <f>"丁云深"</f>
        <v>丁云深</v>
      </c>
      <c r="C465" s="2" t="str">
        <f t="shared" ref="C465:C470" si="11">"男"</f>
        <v>男</v>
      </c>
      <c r="D465" s="2" t="str">
        <f>"1994-08-06"</f>
        <v>1994-08-06</v>
      </c>
    </row>
    <row r="466" spans="1:4" ht="15.75" customHeight="1" x14ac:dyDescent="0.2">
      <c r="A466" s="2" t="s">
        <v>31</v>
      </c>
      <c r="B466" s="2" t="str">
        <f>"王强"</f>
        <v>王强</v>
      </c>
      <c r="C466" s="2" t="str">
        <f t="shared" si="11"/>
        <v>男</v>
      </c>
      <c r="D466" s="2" t="str">
        <f>"1986-03-17"</f>
        <v>1986-03-17</v>
      </c>
    </row>
    <row r="467" spans="1:4" ht="15.75" customHeight="1" x14ac:dyDescent="0.2">
      <c r="A467" s="2" t="s">
        <v>72</v>
      </c>
      <c r="B467" s="2" t="str">
        <f>"邓磊"</f>
        <v>邓磊</v>
      </c>
      <c r="C467" s="2" t="str">
        <f t="shared" si="11"/>
        <v>男</v>
      </c>
      <c r="D467" s="2" t="str">
        <f>"1997-07-02"</f>
        <v>1997-07-02</v>
      </c>
    </row>
    <row r="468" spans="1:4" ht="15.75" customHeight="1" x14ac:dyDescent="0.2">
      <c r="A468" s="2" t="s">
        <v>8</v>
      </c>
      <c r="B468" s="2" t="str">
        <f>"高碧林"</f>
        <v>高碧林</v>
      </c>
      <c r="C468" s="2" t="str">
        <f t="shared" si="11"/>
        <v>男</v>
      </c>
      <c r="D468" s="2" t="str">
        <f>"1997-08-27"</f>
        <v>1997-08-27</v>
      </c>
    </row>
    <row r="469" spans="1:4" ht="15.75" customHeight="1" x14ac:dyDescent="0.2">
      <c r="A469" s="2" t="s">
        <v>48</v>
      </c>
      <c r="B469" s="2" t="str">
        <f>"肖栋芳"</f>
        <v>肖栋芳</v>
      </c>
      <c r="C469" s="2" t="str">
        <f t="shared" si="11"/>
        <v>男</v>
      </c>
      <c r="D469" s="2" t="str">
        <f>"1991-01-10"</f>
        <v>1991-01-10</v>
      </c>
    </row>
    <row r="470" spans="1:4" ht="15.75" customHeight="1" x14ac:dyDescent="0.2">
      <c r="A470" s="2" t="s">
        <v>49</v>
      </c>
      <c r="B470" s="2" t="str">
        <f>"李彦君"</f>
        <v>李彦君</v>
      </c>
      <c r="C470" s="2" t="str">
        <f t="shared" si="11"/>
        <v>男</v>
      </c>
      <c r="D470" s="2" t="str">
        <f>"1993-12-26"</f>
        <v>1993-12-26</v>
      </c>
    </row>
    <row r="471" spans="1:4" ht="15.75" customHeight="1" x14ac:dyDescent="0.2">
      <c r="A471" s="2" t="s">
        <v>49</v>
      </c>
      <c r="B471" s="2" t="str">
        <f>"曹琳"</f>
        <v>曹琳</v>
      </c>
      <c r="C471" s="2" t="str">
        <f>"女"</f>
        <v>女</v>
      </c>
      <c r="D471" s="2" t="str">
        <f>"1993-10-24"</f>
        <v>1993-10-24</v>
      </c>
    </row>
    <row r="472" spans="1:4" ht="15.75" customHeight="1" x14ac:dyDescent="0.2">
      <c r="A472" s="2" t="s">
        <v>15</v>
      </c>
      <c r="B472" s="2" t="str">
        <f>"贺玲"</f>
        <v>贺玲</v>
      </c>
      <c r="C472" s="2" t="str">
        <f>"女"</f>
        <v>女</v>
      </c>
      <c r="D472" s="2" t="str">
        <f>"1986-07-31"</f>
        <v>1986-07-31</v>
      </c>
    </row>
    <row r="473" spans="1:4" ht="15.75" customHeight="1" x14ac:dyDescent="0.2">
      <c r="A473" s="2" t="s">
        <v>8</v>
      </c>
      <c r="B473" s="2" t="str">
        <f>"辛兵"</f>
        <v>辛兵</v>
      </c>
      <c r="C473" s="2" t="str">
        <f>"男"</f>
        <v>男</v>
      </c>
      <c r="D473" s="2" t="str">
        <f>"1989-03-01"</f>
        <v>1989-03-01</v>
      </c>
    </row>
    <row r="474" spans="1:4" ht="15.75" customHeight="1" x14ac:dyDescent="0.2">
      <c r="A474" s="2" t="s">
        <v>4</v>
      </c>
      <c r="B474" s="2" t="str">
        <f>"刘建军"</f>
        <v>刘建军</v>
      </c>
      <c r="C474" s="2" t="str">
        <f>"男"</f>
        <v>男</v>
      </c>
      <c r="D474" s="2" t="str">
        <f>"1989-09-02"</f>
        <v>1989-09-02</v>
      </c>
    </row>
    <row r="475" spans="1:4" ht="15.75" customHeight="1" x14ac:dyDescent="0.2">
      <c r="A475" s="2" t="s">
        <v>13</v>
      </c>
      <c r="B475" s="2" t="str">
        <f>"徐玮"</f>
        <v>徐玮</v>
      </c>
      <c r="C475" s="2" t="str">
        <f>"男"</f>
        <v>男</v>
      </c>
      <c r="D475" s="2" t="str">
        <f>"1997-04-20"</f>
        <v>1997-04-20</v>
      </c>
    </row>
    <row r="476" spans="1:4" ht="15.75" customHeight="1" x14ac:dyDescent="0.2">
      <c r="A476" s="2" t="s">
        <v>13</v>
      </c>
      <c r="B476" s="2" t="str">
        <f>"罗世为"</f>
        <v>罗世为</v>
      </c>
      <c r="C476" s="2" t="str">
        <f>"男"</f>
        <v>男</v>
      </c>
      <c r="D476" s="2" t="str">
        <f>"1998-06-07"</f>
        <v>1998-06-07</v>
      </c>
    </row>
    <row r="477" spans="1:4" ht="15.75" customHeight="1" x14ac:dyDescent="0.2">
      <c r="A477" s="2" t="s">
        <v>38</v>
      </c>
      <c r="B477" s="2" t="str">
        <f>"陈笠"</f>
        <v>陈笠</v>
      </c>
      <c r="C477" s="2" t="str">
        <f>"男"</f>
        <v>男</v>
      </c>
      <c r="D477" s="2" t="str">
        <f>"1993-06-29"</f>
        <v>1993-06-29</v>
      </c>
    </row>
    <row r="478" spans="1:4" ht="15.75" customHeight="1" x14ac:dyDescent="0.2">
      <c r="A478" s="2" t="s">
        <v>23</v>
      </c>
      <c r="B478" s="2" t="str">
        <f>"吕天旗"</f>
        <v>吕天旗</v>
      </c>
      <c r="C478" s="2" t="str">
        <f>"女"</f>
        <v>女</v>
      </c>
      <c r="D478" s="2" t="str">
        <f>"1995-09-05"</f>
        <v>1995-09-05</v>
      </c>
    </row>
    <row r="479" spans="1:4" ht="15.75" customHeight="1" x14ac:dyDescent="0.2">
      <c r="A479" s="2" t="s">
        <v>14</v>
      </c>
      <c r="B479" s="2" t="str">
        <f>"曾杨"</f>
        <v>曾杨</v>
      </c>
      <c r="C479" s="2" t="str">
        <f>"女"</f>
        <v>女</v>
      </c>
      <c r="D479" s="2" t="str">
        <f>"1999-12-07"</f>
        <v>1999-12-07</v>
      </c>
    </row>
    <row r="480" spans="1:4" ht="15.75" customHeight="1" x14ac:dyDescent="0.2">
      <c r="A480" s="2" t="s">
        <v>57</v>
      </c>
      <c r="B480" s="2" t="str">
        <f>"宋瑾新"</f>
        <v>宋瑾新</v>
      </c>
      <c r="C480" s="2" t="str">
        <f>"女"</f>
        <v>女</v>
      </c>
      <c r="D480" s="2" t="str">
        <f>"1995-08-22"</f>
        <v>1995-08-22</v>
      </c>
    </row>
    <row r="481" spans="1:4" ht="15.75" customHeight="1" x14ac:dyDescent="0.2">
      <c r="A481" s="2" t="s">
        <v>57</v>
      </c>
      <c r="B481" s="2" t="str">
        <f>"王芷涵"</f>
        <v>王芷涵</v>
      </c>
      <c r="C481" s="2" t="str">
        <f>"女"</f>
        <v>女</v>
      </c>
      <c r="D481" s="2" t="str">
        <f>"1999-02-16"</f>
        <v>1999-02-16</v>
      </c>
    </row>
    <row r="482" spans="1:4" ht="15.75" customHeight="1" x14ac:dyDescent="0.2">
      <c r="A482" s="2" t="s">
        <v>12</v>
      </c>
      <c r="B482" s="2" t="str">
        <f>"胡芳沁"</f>
        <v>胡芳沁</v>
      </c>
      <c r="C482" s="2" t="str">
        <f>"女"</f>
        <v>女</v>
      </c>
      <c r="D482" s="2" t="str">
        <f>"1988-01-22"</f>
        <v>1988-01-22</v>
      </c>
    </row>
    <row r="483" spans="1:4" ht="15.75" customHeight="1" x14ac:dyDescent="0.2">
      <c r="A483" s="2" t="s">
        <v>16</v>
      </c>
      <c r="B483" s="2" t="str">
        <f>"胡安南"</f>
        <v>胡安南</v>
      </c>
      <c r="C483" s="2" t="str">
        <f>"男"</f>
        <v>男</v>
      </c>
      <c r="D483" s="2" t="str">
        <f>"1996-07-22"</f>
        <v>1996-07-22</v>
      </c>
    </row>
    <row r="484" spans="1:4" ht="15.75" customHeight="1" x14ac:dyDescent="0.2">
      <c r="A484" s="2" t="s">
        <v>12</v>
      </c>
      <c r="B484" s="2" t="str">
        <f>"李天辉"</f>
        <v>李天辉</v>
      </c>
      <c r="C484" s="2" t="str">
        <f>"男"</f>
        <v>男</v>
      </c>
      <c r="D484" s="2" t="str">
        <f>"1994-09-10"</f>
        <v>1994-09-10</v>
      </c>
    </row>
    <row r="485" spans="1:4" ht="15.75" customHeight="1" x14ac:dyDescent="0.2">
      <c r="A485" s="2" t="s">
        <v>20</v>
      </c>
      <c r="B485" s="2" t="str">
        <f>"高忱"</f>
        <v>高忱</v>
      </c>
      <c r="C485" s="2" t="str">
        <f>"女"</f>
        <v>女</v>
      </c>
      <c r="D485" s="2" t="str">
        <f>"1991-04-12"</f>
        <v>1991-04-12</v>
      </c>
    </row>
    <row r="486" spans="1:4" ht="15.75" customHeight="1" x14ac:dyDescent="0.2">
      <c r="A486" s="2" t="s">
        <v>30</v>
      </c>
      <c r="B486" s="2" t="str">
        <f>"唐子钥"</f>
        <v>唐子钥</v>
      </c>
      <c r="C486" s="2" t="str">
        <f>"女"</f>
        <v>女</v>
      </c>
      <c r="D486" s="2" t="str">
        <f>"1988-12-25"</f>
        <v>1988-12-25</v>
      </c>
    </row>
    <row r="487" spans="1:4" ht="15.75" customHeight="1" x14ac:dyDescent="0.2">
      <c r="A487" s="2" t="s">
        <v>12</v>
      </c>
      <c r="B487" s="2" t="str">
        <f>"李诗滢"</f>
        <v>李诗滢</v>
      </c>
      <c r="C487" s="2" t="str">
        <f>"女"</f>
        <v>女</v>
      </c>
      <c r="D487" s="2" t="str">
        <f>"1997-07-27"</f>
        <v>1997-07-27</v>
      </c>
    </row>
    <row r="488" spans="1:4" ht="15.75" customHeight="1" x14ac:dyDescent="0.2">
      <c r="A488" s="2" t="s">
        <v>36</v>
      </c>
      <c r="B488" s="2" t="str">
        <f>"王娟"</f>
        <v>王娟</v>
      </c>
      <c r="C488" s="2" t="str">
        <f>"女"</f>
        <v>女</v>
      </c>
      <c r="D488" s="2" t="str">
        <f>"1995-08-19"</f>
        <v>1995-08-19</v>
      </c>
    </row>
    <row r="489" spans="1:4" ht="15.75" customHeight="1" x14ac:dyDescent="0.2">
      <c r="A489" s="2" t="s">
        <v>30</v>
      </c>
      <c r="B489" s="2" t="str">
        <f>"侯明"</f>
        <v>侯明</v>
      </c>
      <c r="C489" s="2" t="str">
        <f>"男"</f>
        <v>男</v>
      </c>
      <c r="D489" s="2" t="str">
        <f>"1995-11-10"</f>
        <v>1995-11-10</v>
      </c>
    </row>
    <row r="490" spans="1:4" ht="15.75" customHeight="1" x14ac:dyDescent="0.2">
      <c r="A490" s="2" t="s">
        <v>48</v>
      </c>
      <c r="B490" s="2" t="str">
        <f>"刘金藤"</f>
        <v>刘金藤</v>
      </c>
      <c r="C490" s="2" t="str">
        <f>"男"</f>
        <v>男</v>
      </c>
      <c r="D490" s="2" t="str">
        <f>"1990-01-18"</f>
        <v>1990-01-18</v>
      </c>
    </row>
    <row r="491" spans="1:4" ht="15.75" customHeight="1" x14ac:dyDescent="0.2">
      <c r="A491" s="2" t="s">
        <v>22</v>
      </c>
      <c r="B491" s="2" t="str">
        <f>"刘杰"</f>
        <v>刘杰</v>
      </c>
      <c r="C491" s="2" t="str">
        <f>"男"</f>
        <v>男</v>
      </c>
      <c r="D491" s="2" t="str">
        <f>"1992-10-06"</f>
        <v>1992-10-06</v>
      </c>
    </row>
    <row r="492" spans="1:4" ht="15.75" customHeight="1" x14ac:dyDescent="0.2">
      <c r="A492" s="2" t="s">
        <v>41</v>
      </c>
      <c r="B492" s="2" t="str">
        <f>"徐宏扬"</f>
        <v>徐宏扬</v>
      </c>
      <c r="C492" s="2" t="str">
        <f>"男"</f>
        <v>男</v>
      </c>
      <c r="D492" s="2" t="str">
        <f>"1998-01-08"</f>
        <v>1998-01-08</v>
      </c>
    </row>
    <row r="493" spans="1:4" ht="15.75" customHeight="1" x14ac:dyDescent="0.2">
      <c r="A493" s="2" t="s">
        <v>16</v>
      </c>
      <c r="B493" s="2" t="str">
        <f>"彭月"</f>
        <v>彭月</v>
      </c>
      <c r="C493" s="2" t="str">
        <f>"女"</f>
        <v>女</v>
      </c>
      <c r="D493" s="2" t="str">
        <f>"1998-06-09"</f>
        <v>1998-06-09</v>
      </c>
    </row>
    <row r="494" spans="1:4" ht="15.75" customHeight="1" x14ac:dyDescent="0.2">
      <c r="A494" s="2" t="s">
        <v>41</v>
      </c>
      <c r="B494" s="2" t="str">
        <f>"周姗姗"</f>
        <v>周姗姗</v>
      </c>
      <c r="C494" s="2" t="str">
        <f>"女"</f>
        <v>女</v>
      </c>
      <c r="D494" s="2" t="str">
        <f>"1997-10-30"</f>
        <v>1997-10-30</v>
      </c>
    </row>
    <row r="495" spans="1:4" ht="15.75" customHeight="1" x14ac:dyDescent="0.2">
      <c r="A495" s="2" t="s">
        <v>58</v>
      </c>
      <c r="B495" s="2" t="str">
        <f>"王婷"</f>
        <v>王婷</v>
      </c>
      <c r="C495" s="2" t="str">
        <f>"女"</f>
        <v>女</v>
      </c>
      <c r="D495" s="2" t="str">
        <f>"1995-05-25"</f>
        <v>1995-05-25</v>
      </c>
    </row>
    <row r="496" spans="1:4" ht="15.75" customHeight="1" x14ac:dyDescent="0.2">
      <c r="A496" s="2" t="s">
        <v>14</v>
      </c>
      <c r="B496" s="2" t="str">
        <f>"施玟岑"</f>
        <v>施玟岑</v>
      </c>
      <c r="C496" s="2" t="str">
        <f>"女"</f>
        <v>女</v>
      </c>
      <c r="D496" s="2" t="str">
        <f>"1998-03-18"</f>
        <v>1998-03-18</v>
      </c>
    </row>
    <row r="497" spans="1:4" ht="15.75" customHeight="1" x14ac:dyDescent="0.2">
      <c r="A497" s="2" t="s">
        <v>24</v>
      </c>
      <c r="B497" s="2" t="str">
        <f>"韩鑫"</f>
        <v>韩鑫</v>
      </c>
      <c r="C497" s="2" t="str">
        <f>"男"</f>
        <v>男</v>
      </c>
      <c r="D497" s="2" t="str">
        <f>"1990-10-14"</f>
        <v>1990-10-14</v>
      </c>
    </row>
    <row r="498" spans="1:4" ht="15.75" customHeight="1" x14ac:dyDescent="0.2">
      <c r="A498" s="2" t="s">
        <v>70</v>
      </c>
      <c r="B498" s="2" t="str">
        <f>"苏明钰"</f>
        <v>苏明钰</v>
      </c>
      <c r="C498" s="2" t="str">
        <f>"女"</f>
        <v>女</v>
      </c>
      <c r="D498" s="2" t="str">
        <f>"1988-09-23"</f>
        <v>1988-09-23</v>
      </c>
    </row>
    <row r="499" spans="1:4" ht="15.75" customHeight="1" x14ac:dyDescent="0.2">
      <c r="A499" s="2" t="s">
        <v>59</v>
      </c>
      <c r="B499" s="2" t="str">
        <f>"谌思吟"</f>
        <v>谌思吟</v>
      </c>
      <c r="C499" s="2" t="str">
        <f>"女"</f>
        <v>女</v>
      </c>
      <c r="D499" s="2" t="str">
        <f>"1999-07-02"</f>
        <v>1999-07-02</v>
      </c>
    </row>
    <row r="500" spans="1:4" ht="15.75" customHeight="1" x14ac:dyDescent="0.2">
      <c r="A500" s="2" t="s">
        <v>10</v>
      </c>
      <c r="B500" s="2" t="str">
        <f>"杨濛菡"</f>
        <v>杨濛菡</v>
      </c>
      <c r="C500" s="2" t="str">
        <f>"女"</f>
        <v>女</v>
      </c>
      <c r="D500" s="2" t="str">
        <f>"1998-11-06"</f>
        <v>1998-11-06</v>
      </c>
    </row>
    <row r="501" spans="1:4" ht="15.75" customHeight="1" x14ac:dyDescent="0.2">
      <c r="A501" s="2" t="s">
        <v>13</v>
      </c>
      <c r="B501" s="2" t="str">
        <f>"李璐"</f>
        <v>李璐</v>
      </c>
      <c r="C501" s="2" t="str">
        <f>"女"</f>
        <v>女</v>
      </c>
      <c r="D501" s="2" t="str">
        <f>"1997-10-23"</f>
        <v>1997-10-23</v>
      </c>
    </row>
    <row r="502" spans="1:4" ht="15.75" customHeight="1" x14ac:dyDescent="0.2">
      <c r="A502" s="2" t="s">
        <v>37</v>
      </c>
      <c r="B502" s="2" t="str">
        <f>"孙文俊"</f>
        <v>孙文俊</v>
      </c>
      <c r="C502" s="2" t="str">
        <f>"男"</f>
        <v>男</v>
      </c>
      <c r="D502" s="2" t="str">
        <f>"1992-02-22"</f>
        <v>1992-02-22</v>
      </c>
    </row>
    <row r="503" spans="1:4" ht="15.75" customHeight="1" x14ac:dyDescent="0.2">
      <c r="A503" s="2" t="s">
        <v>42</v>
      </c>
      <c r="B503" s="2" t="str">
        <f>"陈俏湘"</f>
        <v>陈俏湘</v>
      </c>
      <c r="C503" s="2" t="str">
        <f>"女"</f>
        <v>女</v>
      </c>
      <c r="D503" s="2" t="str">
        <f>"1998-08-15"</f>
        <v>1998-08-15</v>
      </c>
    </row>
    <row r="504" spans="1:4" ht="15.75" customHeight="1" x14ac:dyDescent="0.2">
      <c r="A504" s="2" t="s">
        <v>40</v>
      </c>
      <c r="B504" s="2" t="str">
        <f>"石秀峦"</f>
        <v>石秀峦</v>
      </c>
      <c r="C504" s="2" t="str">
        <f>"男"</f>
        <v>男</v>
      </c>
      <c r="D504" s="2" t="str">
        <f>"1995-10-14"</f>
        <v>1995-10-14</v>
      </c>
    </row>
    <row r="505" spans="1:4" ht="15.75" customHeight="1" x14ac:dyDescent="0.2">
      <c r="A505" s="2" t="s">
        <v>40</v>
      </c>
      <c r="B505" s="2" t="str">
        <f>"李泓锐"</f>
        <v>李泓锐</v>
      </c>
      <c r="C505" s="2" t="str">
        <f>"女"</f>
        <v>女</v>
      </c>
      <c r="D505" s="2" t="str">
        <f>"1997-09-20"</f>
        <v>1997-09-20</v>
      </c>
    </row>
    <row r="506" spans="1:4" ht="15.75" customHeight="1" x14ac:dyDescent="0.2">
      <c r="A506" s="2" t="s">
        <v>22</v>
      </c>
      <c r="B506" s="2" t="str">
        <f>"王陶"</f>
        <v>王陶</v>
      </c>
      <c r="C506" s="2" t="str">
        <f>"女"</f>
        <v>女</v>
      </c>
      <c r="D506" s="2" t="str">
        <f>"1998-03-05"</f>
        <v>1998-03-05</v>
      </c>
    </row>
    <row r="507" spans="1:4" ht="15.75" customHeight="1" x14ac:dyDescent="0.2">
      <c r="A507" s="2" t="s">
        <v>28</v>
      </c>
      <c r="B507" s="2" t="str">
        <f>"沈秋彤"</f>
        <v>沈秋彤</v>
      </c>
      <c r="C507" s="2" t="str">
        <f>"女"</f>
        <v>女</v>
      </c>
      <c r="D507" s="2" t="str">
        <f>"1998-06-29"</f>
        <v>1998-06-29</v>
      </c>
    </row>
    <row r="508" spans="1:4" ht="15.75" customHeight="1" x14ac:dyDescent="0.2">
      <c r="A508" s="2" t="s">
        <v>8</v>
      </c>
      <c r="B508" s="2" t="str">
        <f>"黄小青"</f>
        <v>黄小青</v>
      </c>
      <c r="C508" s="2" t="str">
        <f>"女"</f>
        <v>女</v>
      </c>
      <c r="D508" s="2" t="str">
        <f>"1996-02-07"</f>
        <v>1996-02-07</v>
      </c>
    </row>
    <row r="509" spans="1:4" ht="15.75" customHeight="1" x14ac:dyDescent="0.2">
      <c r="A509" s="2" t="s">
        <v>52</v>
      </c>
      <c r="B509" s="2" t="str">
        <f>"王凯"</f>
        <v>王凯</v>
      </c>
      <c r="C509" s="2" t="str">
        <f>"男"</f>
        <v>男</v>
      </c>
      <c r="D509" s="2" t="str">
        <f>"1993-03-26"</f>
        <v>1993-03-26</v>
      </c>
    </row>
    <row r="510" spans="1:4" ht="15.75" customHeight="1" x14ac:dyDescent="0.2">
      <c r="A510" s="2" t="s">
        <v>9</v>
      </c>
      <c r="B510" s="2" t="str">
        <f>"于凯"</f>
        <v>于凯</v>
      </c>
      <c r="C510" s="2" t="str">
        <f>"男"</f>
        <v>男</v>
      </c>
      <c r="D510" s="2" t="str">
        <f>"1990-01-18"</f>
        <v>1990-01-18</v>
      </c>
    </row>
    <row r="511" spans="1:4" ht="15.75" customHeight="1" x14ac:dyDescent="0.2">
      <c r="A511" s="2" t="s">
        <v>8</v>
      </c>
      <c r="B511" s="2" t="str">
        <f>"彭益茹"</f>
        <v>彭益茹</v>
      </c>
      <c r="C511" s="2" t="str">
        <f>"女"</f>
        <v>女</v>
      </c>
      <c r="D511" s="2" t="str">
        <f>"1991-07-07"</f>
        <v>1991-07-07</v>
      </c>
    </row>
    <row r="512" spans="1:4" ht="15.75" customHeight="1" x14ac:dyDescent="0.2">
      <c r="A512" s="2" t="s">
        <v>24</v>
      </c>
      <c r="B512" s="2" t="str">
        <f>"淤慧淋"</f>
        <v>淤慧淋</v>
      </c>
      <c r="C512" s="2" t="str">
        <f>"女"</f>
        <v>女</v>
      </c>
      <c r="D512" s="2" t="str">
        <f>"1996-04-28"</f>
        <v>1996-04-28</v>
      </c>
    </row>
    <row r="513" spans="1:4" ht="15.75" customHeight="1" x14ac:dyDescent="0.2">
      <c r="A513" s="2" t="s">
        <v>8</v>
      </c>
      <c r="B513" s="2" t="str">
        <f>"黄晶晶"</f>
        <v>黄晶晶</v>
      </c>
      <c r="C513" s="2" t="str">
        <f>"女"</f>
        <v>女</v>
      </c>
      <c r="D513" s="2" t="str">
        <f>"1996-02-02"</f>
        <v>1996-02-02</v>
      </c>
    </row>
    <row r="514" spans="1:4" ht="15.75" customHeight="1" x14ac:dyDescent="0.2">
      <c r="A514" s="2" t="s">
        <v>16</v>
      </c>
      <c r="B514" s="2" t="str">
        <f>"丁小梅"</f>
        <v>丁小梅</v>
      </c>
      <c r="C514" s="2" t="str">
        <f>"女"</f>
        <v>女</v>
      </c>
      <c r="D514" s="2" t="str">
        <f>"1997-11-19"</f>
        <v>1997-11-19</v>
      </c>
    </row>
    <row r="515" spans="1:4" ht="15.75" customHeight="1" x14ac:dyDescent="0.2">
      <c r="A515" s="2" t="s">
        <v>13</v>
      </c>
      <c r="B515" s="2" t="str">
        <f>"徐飞"</f>
        <v>徐飞</v>
      </c>
      <c r="C515" s="2" t="str">
        <f>"男"</f>
        <v>男</v>
      </c>
      <c r="D515" s="2" t="str">
        <f>"1995-08-09"</f>
        <v>1995-08-09</v>
      </c>
    </row>
    <row r="516" spans="1:4" ht="15.75" customHeight="1" x14ac:dyDescent="0.2">
      <c r="A516" s="2" t="s">
        <v>36</v>
      </c>
      <c r="B516" s="2" t="str">
        <f>"刘奕含"</f>
        <v>刘奕含</v>
      </c>
      <c r="C516" s="2" t="str">
        <f>"女"</f>
        <v>女</v>
      </c>
      <c r="D516" s="2" t="str">
        <f>"1993-12-18"</f>
        <v>1993-12-18</v>
      </c>
    </row>
    <row r="517" spans="1:4" ht="15.75" customHeight="1" x14ac:dyDescent="0.2">
      <c r="A517" s="2" t="s">
        <v>20</v>
      </c>
      <c r="B517" s="2" t="str">
        <f>"杨媚"</f>
        <v>杨媚</v>
      </c>
      <c r="C517" s="2" t="str">
        <f>"女"</f>
        <v>女</v>
      </c>
      <c r="D517" s="2" t="str">
        <f>"1992-12-02"</f>
        <v>1992-12-02</v>
      </c>
    </row>
    <row r="518" spans="1:4" ht="15.75" customHeight="1" x14ac:dyDescent="0.2">
      <c r="A518" s="2" t="s">
        <v>14</v>
      </c>
      <c r="B518" s="2" t="str">
        <f>"向益"</f>
        <v>向益</v>
      </c>
      <c r="C518" s="2" t="str">
        <f>"男"</f>
        <v>男</v>
      </c>
      <c r="D518" s="2" t="str">
        <f>"1995-02-01"</f>
        <v>1995-02-01</v>
      </c>
    </row>
    <row r="519" spans="1:4" ht="15.75" customHeight="1" x14ac:dyDescent="0.2">
      <c r="A519" s="2" t="s">
        <v>36</v>
      </c>
      <c r="B519" s="2" t="str">
        <f>"王梦婷"</f>
        <v>王梦婷</v>
      </c>
      <c r="C519" s="2" t="str">
        <f>"女"</f>
        <v>女</v>
      </c>
      <c r="D519" s="2" t="str">
        <f>"1995-08-01"</f>
        <v>1995-08-01</v>
      </c>
    </row>
    <row r="520" spans="1:4" ht="15.75" customHeight="1" x14ac:dyDescent="0.2">
      <c r="A520" s="2" t="s">
        <v>29</v>
      </c>
      <c r="B520" s="2" t="str">
        <f>"胡湘晴"</f>
        <v>胡湘晴</v>
      </c>
      <c r="C520" s="2" t="str">
        <f>"女"</f>
        <v>女</v>
      </c>
      <c r="D520" s="2" t="str">
        <f>"1999-02-13"</f>
        <v>1999-02-13</v>
      </c>
    </row>
    <row r="521" spans="1:4" ht="15.75" customHeight="1" x14ac:dyDescent="0.2">
      <c r="A521" s="2" t="s">
        <v>8</v>
      </c>
      <c r="B521" s="2" t="str">
        <f>"洪学锋"</f>
        <v>洪学锋</v>
      </c>
      <c r="C521" s="2" t="str">
        <f>"男"</f>
        <v>男</v>
      </c>
      <c r="D521" s="2" t="str">
        <f>"1991-01-04"</f>
        <v>1991-01-04</v>
      </c>
    </row>
    <row r="522" spans="1:4" ht="15.75" customHeight="1" x14ac:dyDescent="0.2">
      <c r="A522" s="2" t="s">
        <v>17</v>
      </c>
      <c r="B522" s="2" t="str">
        <f>"徐璐"</f>
        <v>徐璐</v>
      </c>
      <c r="C522" s="2" t="str">
        <f>"女"</f>
        <v>女</v>
      </c>
      <c r="D522" s="2" t="str">
        <f>"1999-09-22"</f>
        <v>1999-09-22</v>
      </c>
    </row>
    <row r="523" spans="1:4" ht="15.75" customHeight="1" x14ac:dyDescent="0.2">
      <c r="A523" s="2" t="s">
        <v>48</v>
      </c>
      <c r="B523" s="2" t="str">
        <f>"杨保中"</f>
        <v>杨保中</v>
      </c>
      <c r="C523" s="2" t="str">
        <f>"男"</f>
        <v>男</v>
      </c>
      <c r="D523" s="2" t="str">
        <f>"1987-01-07"</f>
        <v>1987-01-07</v>
      </c>
    </row>
    <row r="524" spans="1:4" ht="15.75" customHeight="1" x14ac:dyDescent="0.2">
      <c r="A524" s="2" t="s">
        <v>8</v>
      </c>
      <c r="B524" s="2" t="str">
        <f>"李明燃"</f>
        <v>李明燃</v>
      </c>
      <c r="C524" s="2" t="str">
        <f>"男"</f>
        <v>男</v>
      </c>
      <c r="D524" s="2" t="str">
        <f>"1988-01-22"</f>
        <v>1988-01-22</v>
      </c>
    </row>
    <row r="525" spans="1:4" ht="15.75" customHeight="1" x14ac:dyDescent="0.2">
      <c r="A525" s="2" t="s">
        <v>13</v>
      </c>
      <c r="B525" s="2" t="str">
        <f>"王惠"</f>
        <v>王惠</v>
      </c>
      <c r="C525" s="2" t="str">
        <f>"女"</f>
        <v>女</v>
      </c>
      <c r="D525" s="2" t="str">
        <f>"1993-02-12"</f>
        <v>1993-02-12</v>
      </c>
    </row>
    <row r="526" spans="1:4" ht="15.75" customHeight="1" x14ac:dyDescent="0.2">
      <c r="A526" s="2" t="s">
        <v>41</v>
      </c>
      <c r="B526" s="2" t="str">
        <f>"李竹筠"</f>
        <v>李竹筠</v>
      </c>
      <c r="C526" s="2" t="str">
        <f>"女"</f>
        <v>女</v>
      </c>
      <c r="D526" s="2" t="str">
        <f>"1996-11-28"</f>
        <v>1996-11-28</v>
      </c>
    </row>
    <row r="527" spans="1:4" ht="15.75" customHeight="1" x14ac:dyDescent="0.2">
      <c r="A527" s="2" t="s">
        <v>30</v>
      </c>
      <c r="B527" s="2" t="str">
        <f>"李树雄"</f>
        <v>李树雄</v>
      </c>
      <c r="C527" s="2" t="str">
        <f>"男"</f>
        <v>男</v>
      </c>
      <c r="D527" s="2" t="str">
        <f>"1990-10-01"</f>
        <v>1990-10-01</v>
      </c>
    </row>
    <row r="528" spans="1:4" ht="15.75" customHeight="1" x14ac:dyDescent="0.2">
      <c r="A528" s="2" t="s">
        <v>25</v>
      </c>
      <c r="B528" s="2" t="str">
        <f>"张元"</f>
        <v>张元</v>
      </c>
      <c r="C528" s="2" t="str">
        <f>"男"</f>
        <v>男</v>
      </c>
      <c r="D528" s="2" t="str">
        <f>"1986-01-01"</f>
        <v>1986-01-01</v>
      </c>
    </row>
    <row r="529" spans="1:4" ht="15.75" customHeight="1" x14ac:dyDescent="0.2">
      <c r="A529" s="2" t="s">
        <v>33</v>
      </c>
      <c r="B529" s="2" t="str">
        <f>"周敏"</f>
        <v>周敏</v>
      </c>
      <c r="C529" s="2" t="str">
        <f>"女"</f>
        <v>女</v>
      </c>
      <c r="D529" s="2" t="str">
        <f>"1998-02-22"</f>
        <v>1998-02-22</v>
      </c>
    </row>
    <row r="530" spans="1:4" ht="15.75" customHeight="1" x14ac:dyDescent="0.2">
      <c r="A530" s="2" t="s">
        <v>36</v>
      </c>
      <c r="B530" s="2" t="str">
        <f>"鲁子榕"</f>
        <v>鲁子榕</v>
      </c>
      <c r="C530" s="2" t="str">
        <f>"女"</f>
        <v>女</v>
      </c>
      <c r="D530" s="2" t="str">
        <f>"1997-07-19"</f>
        <v>1997-07-19</v>
      </c>
    </row>
    <row r="531" spans="1:4" ht="15.75" customHeight="1" x14ac:dyDescent="0.2">
      <c r="A531" s="2" t="s">
        <v>32</v>
      </c>
      <c r="B531" s="2" t="str">
        <f>"赵菲菲"</f>
        <v>赵菲菲</v>
      </c>
      <c r="C531" s="2" t="str">
        <f>"女"</f>
        <v>女</v>
      </c>
      <c r="D531" s="2" t="str">
        <f>"1999-03-14"</f>
        <v>1999-03-14</v>
      </c>
    </row>
    <row r="532" spans="1:4" ht="15.75" customHeight="1" x14ac:dyDescent="0.2">
      <c r="A532" s="2" t="s">
        <v>18</v>
      </c>
      <c r="B532" s="2" t="str">
        <f>"韦立玲"</f>
        <v>韦立玲</v>
      </c>
      <c r="C532" s="2" t="str">
        <f>"女"</f>
        <v>女</v>
      </c>
      <c r="D532" s="2" t="str">
        <f>"1993-10-05"</f>
        <v>1993-10-05</v>
      </c>
    </row>
    <row r="533" spans="1:4" ht="15.75" customHeight="1" x14ac:dyDescent="0.2">
      <c r="A533" s="2" t="s">
        <v>17</v>
      </c>
      <c r="B533" s="2" t="str">
        <f>"龚明辉"</f>
        <v>龚明辉</v>
      </c>
      <c r="C533" s="2" t="str">
        <f>"男"</f>
        <v>男</v>
      </c>
      <c r="D533" s="2" t="str">
        <f>"1995-07-07"</f>
        <v>1995-07-07</v>
      </c>
    </row>
    <row r="534" spans="1:4" ht="15.75" customHeight="1" x14ac:dyDescent="0.2">
      <c r="A534" s="2" t="s">
        <v>54</v>
      </c>
      <c r="B534" s="2" t="str">
        <f>"周永鑫"</f>
        <v>周永鑫</v>
      </c>
      <c r="C534" s="2" t="str">
        <f>"男"</f>
        <v>男</v>
      </c>
      <c r="D534" s="2" t="str">
        <f>"1996-10-04"</f>
        <v>1996-10-04</v>
      </c>
    </row>
    <row r="535" spans="1:4" ht="15.75" customHeight="1" x14ac:dyDescent="0.2">
      <c r="A535" s="2" t="s">
        <v>8</v>
      </c>
      <c r="B535" s="2" t="str">
        <f>"唐娟"</f>
        <v>唐娟</v>
      </c>
      <c r="C535" s="2" t="str">
        <f>"女"</f>
        <v>女</v>
      </c>
      <c r="D535" s="2" t="str">
        <f>"1988-05-27"</f>
        <v>1988-05-27</v>
      </c>
    </row>
    <row r="536" spans="1:4" ht="15.75" customHeight="1" x14ac:dyDescent="0.2">
      <c r="A536" s="2" t="s">
        <v>29</v>
      </c>
      <c r="B536" s="2" t="str">
        <f>"汪凯"</f>
        <v>汪凯</v>
      </c>
      <c r="C536" s="2" t="str">
        <f>"男"</f>
        <v>男</v>
      </c>
      <c r="D536" s="2" t="str">
        <f>"1992-12-02"</f>
        <v>1992-12-02</v>
      </c>
    </row>
    <row r="537" spans="1:4" ht="15.75" customHeight="1" x14ac:dyDescent="0.2">
      <c r="A537" s="2" t="s">
        <v>13</v>
      </c>
      <c r="B537" s="2" t="str">
        <f>"彭静"</f>
        <v>彭静</v>
      </c>
      <c r="C537" s="2" t="str">
        <f>"女"</f>
        <v>女</v>
      </c>
      <c r="D537" s="2" t="str">
        <f>"1994-06-05"</f>
        <v>1994-06-05</v>
      </c>
    </row>
    <row r="538" spans="1:4" ht="15.75" customHeight="1" x14ac:dyDescent="0.2">
      <c r="A538" s="2" t="s">
        <v>22</v>
      </c>
      <c r="B538" s="2" t="str">
        <f>"张汝瑶"</f>
        <v>张汝瑶</v>
      </c>
      <c r="C538" s="2" t="str">
        <f>"女"</f>
        <v>女</v>
      </c>
      <c r="D538" s="2" t="str">
        <f>"1998-03-02"</f>
        <v>1998-03-02</v>
      </c>
    </row>
    <row r="539" spans="1:4" ht="15.75" customHeight="1" x14ac:dyDescent="0.2">
      <c r="A539" s="2" t="s">
        <v>41</v>
      </c>
      <c r="B539" s="2" t="str">
        <f>"贵媛瑛"</f>
        <v>贵媛瑛</v>
      </c>
      <c r="C539" s="2" t="str">
        <f>"女"</f>
        <v>女</v>
      </c>
      <c r="D539" s="2" t="str">
        <f>"1997-11-26"</f>
        <v>1997-11-26</v>
      </c>
    </row>
    <row r="540" spans="1:4" ht="15.75" customHeight="1" x14ac:dyDescent="0.2">
      <c r="A540" s="2" t="s">
        <v>54</v>
      </c>
      <c r="B540" s="2" t="str">
        <f>"任兴宇"</f>
        <v>任兴宇</v>
      </c>
      <c r="C540" s="2" t="str">
        <f>"男"</f>
        <v>男</v>
      </c>
      <c r="D540" s="2" t="str">
        <f>"1999-08-26"</f>
        <v>1999-08-26</v>
      </c>
    </row>
    <row r="541" spans="1:4" ht="15.75" customHeight="1" x14ac:dyDescent="0.2">
      <c r="A541" s="2" t="s">
        <v>42</v>
      </c>
      <c r="B541" s="2" t="str">
        <f>"李双成"</f>
        <v>李双成</v>
      </c>
      <c r="C541" s="2" t="str">
        <f>"男"</f>
        <v>男</v>
      </c>
      <c r="D541" s="2" t="str">
        <f>"1989-03-16"</f>
        <v>1989-03-16</v>
      </c>
    </row>
    <row r="542" spans="1:4" ht="15.75" customHeight="1" x14ac:dyDescent="0.2">
      <c r="A542" s="2" t="s">
        <v>22</v>
      </c>
      <c r="B542" s="2" t="str">
        <f>"范星雨"</f>
        <v>范星雨</v>
      </c>
      <c r="C542" s="2" t="str">
        <f>"女"</f>
        <v>女</v>
      </c>
      <c r="D542" s="2" t="str">
        <f>"2000-07-16"</f>
        <v>2000-07-16</v>
      </c>
    </row>
    <row r="543" spans="1:4" ht="15.75" customHeight="1" x14ac:dyDescent="0.2">
      <c r="A543" s="2" t="s">
        <v>31</v>
      </c>
      <c r="B543" s="2" t="str">
        <f>"杜敏"</f>
        <v>杜敏</v>
      </c>
      <c r="C543" s="2" t="str">
        <f>"男"</f>
        <v>男</v>
      </c>
      <c r="D543" s="2" t="str">
        <f>"1992-01-15"</f>
        <v>1992-01-15</v>
      </c>
    </row>
    <row r="544" spans="1:4" ht="15.75" customHeight="1" x14ac:dyDescent="0.2">
      <c r="A544" s="2" t="s">
        <v>10</v>
      </c>
      <c r="B544" s="2" t="str">
        <f>"胡瀚中"</f>
        <v>胡瀚中</v>
      </c>
      <c r="C544" s="2" t="str">
        <f>"男"</f>
        <v>男</v>
      </c>
      <c r="D544" s="2" t="str">
        <f>"1998-02-26"</f>
        <v>1998-02-26</v>
      </c>
    </row>
    <row r="545" spans="1:4" ht="15.75" customHeight="1" x14ac:dyDescent="0.2">
      <c r="A545" s="2" t="s">
        <v>29</v>
      </c>
      <c r="B545" s="2" t="str">
        <f>"戴睿"</f>
        <v>戴睿</v>
      </c>
      <c r="C545" s="2" t="str">
        <f>"男"</f>
        <v>男</v>
      </c>
      <c r="D545" s="2" t="str">
        <f>"1997-08-14"</f>
        <v>1997-08-14</v>
      </c>
    </row>
    <row r="546" spans="1:4" ht="15.75" customHeight="1" x14ac:dyDescent="0.2">
      <c r="A546" s="2" t="s">
        <v>22</v>
      </c>
      <c r="B546" s="2" t="str">
        <f>"胡维"</f>
        <v>胡维</v>
      </c>
      <c r="C546" s="2" t="str">
        <f>"女"</f>
        <v>女</v>
      </c>
      <c r="D546" s="2" t="str">
        <f>"1998-02-28"</f>
        <v>1998-02-28</v>
      </c>
    </row>
    <row r="547" spans="1:4" ht="15.75" customHeight="1" x14ac:dyDescent="0.2">
      <c r="A547" s="2" t="s">
        <v>59</v>
      </c>
      <c r="B547" s="2" t="str">
        <f>"唐银波"</f>
        <v>唐银波</v>
      </c>
      <c r="C547" s="2" t="str">
        <f>"女"</f>
        <v>女</v>
      </c>
      <c r="D547" s="2" t="str">
        <f>"1997-05-05"</f>
        <v>1997-05-05</v>
      </c>
    </row>
    <row r="548" spans="1:4" ht="15.75" customHeight="1" x14ac:dyDescent="0.2">
      <c r="A548" s="2" t="s">
        <v>30</v>
      </c>
      <c r="B548" s="2" t="str">
        <f>"汪子怡"</f>
        <v>汪子怡</v>
      </c>
      <c r="C548" s="2" t="str">
        <f>"女"</f>
        <v>女</v>
      </c>
      <c r="D548" s="2" t="str">
        <f>"1997-11-27"</f>
        <v>1997-11-27</v>
      </c>
    </row>
    <row r="549" spans="1:4" ht="15.75" customHeight="1" x14ac:dyDescent="0.2">
      <c r="A549" s="2" t="s">
        <v>13</v>
      </c>
      <c r="B549" s="2" t="str">
        <f>"沈庚武"</f>
        <v>沈庚武</v>
      </c>
      <c r="C549" s="2" t="str">
        <f>"男"</f>
        <v>男</v>
      </c>
      <c r="D549" s="2" t="str">
        <f>"1990-08-02"</f>
        <v>1990-08-02</v>
      </c>
    </row>
    <row r="550" spans="1:4" ht="15.75" customHeight="1" x14ac:dyDescent="0.2">
      <c r="A550" s="2" t="s">
        <v>27</v>
      </c>
      <c r="B550" s="2" t="str">
        <f>"何明衡"</f>
        <v>何明衡</v>
      </c>
      <c r="C550" s="2" t="str">
        <f>"男"</f>
        <v>男</v>
      </c>
      <c r="D550" s="2" t="str">
        <f>"1997-12-28"</f>
        <v>1997-12-28</v>
      </c>
    </row>
    <row r="551" spans="1:4" ht="15.75" customHeight="1" x14ac:dyDescent="0.2">
      <c r="A551" s="2" t="s">
        <v>44</v>
      </c>
      <c r="B551" s="2" t="str">
        <f>"廖秭伊"</f>
        <v>廖秭伊</v>
      </c>
      <c r="C551" s="2" t="str">
        <f>"女"</f>
        <v>女</v>
      </c>
      <c r="D551" s="2" t="str">
        <f>"1993-01-08"</f>
        <v>1993-01-08</v>
      </c>
    </row>
    <row r="552" spans="1:4" ht="15.75" customHeight="1" x14ac:dyDescent="0.2">
      <c r="A552" s="2" t="s">
        <v>13</v>
      </c>
      <c r="B552" s="2" t="str">
        <f>"彭博"</f>
        <v>彭博</v>
      </c>
      <c r="C552" s="2" t="str">
        <f>"男"</f>
        <v>男</v>
      </c>
      <c r="D552" s="2" t="str">
        <f>"1993-12-20"</f>
        <v>1993-12-20</v>
      </c>
    </row>
    <row r="553" spans="1:4" ht="15.75" customHeight="1" x14ac:dyDescent="0.2">
      <c r="A553" s="2" t="s">
        <v>41</v>
      </c>
      <c r="B553" s="2" t="str">
        <f>"徐邦高"</f>
        <v>徐邦高</v>
      </c>
      <c r="C553" s="2" t="str">
        <f>"男"</f>
        <v>男</v>
      </c>
      <c r="D553" s="2" t="str">
        <f>"1997-08-22"</f>
        <v>1997-08-22</v>
      </c>
    </row>
    <row r="554" spans="1:4" ht="15.75" customHeight="1" x14ac:dyDescent="0.2">
      <c r="A554" s="2" t="s">
        <v>14</v>
      </c>
      <c r="B554" s="2" t="str">
        <f>"游云竹"</f>
        <v>游云竹</v>
      </c>
      <c r="C554" s="2" t="str">
        <f>"女"</f>
        <v>女</v>
      </c>
      <c r="D554" s="2" t="str">
        <f>"1997-08-19"</f>
        <v>1997-08-19</v>
      </c>
    </row>
    <row r="555" spans="1:4" ht="15.75" customHeight="1" x14ac:dyDescent="0.2">
      <c r="A555" s="2" t="s">
        <v>48</v>
      </c>
      <c r="B555" s="2" t="str">
        <f>"占秀丽"</f>
        <v>占秀丽</v>
      </c>
      <c r="C555" s="2" t="str">
        <f>"女"</f>
        <v>女</v>
      </c>
      <c r="D555" s="2" t="str">
        <f>"1993-01-16"</f>
        <v>1993-01-16</v>
      </c>
    </row>
    <row r="556" spans="1:4" ht="15.75" customHeight="1" x14ac:dyDescent="0.2">
      <c r="A556" s="2" t="s">
        <v>58</v>
      </c>
      <c r="B556" s="2" t="str">
        <f>"杨梦"</f>
        <v>杨梦</v>
      </c>
      <c r="C556" s="2" t="str">
        <f>"女"</f>
        <v>女</v>
      </c>
      <c r="D556" s="2" t="str">
        <f>"1993-12-05"</f>
        <v>1993-12-05</v>
      </c>
    </row>
    <row r="557" spans="1:4" ht="15.75" customHeight="1" x14ac:dyDescent="0.2">
      <c r="A557" s="2" t="s">
        <v>33</v>
      </c>
      <c r="B557" s="2" t="str">
        <f>"雷江毅"</f>
        <v>雷江毅</v>
      </c>
      <c r="C557" s="2" t="str">
        <f>"男"</f>
        <v>男</v>
      </c>
      <c r="D557" s="2" t="str">
        <f>"1996-06-28"</f>
        <v>1996-06-28</v>
      </c>
    </row>
    <row r="558" spans="1:4" ht="15.75" customHeight="1" x14ac:dyDescent="0.2">
      <c r="A558" s="2" t="s">
        <v>40</v>
      </c>
      <c r="B558" s="2" t="str">
        <f>"施敏琪"</f>
        <v>施敏琪</v>
      </c>
      <c r="C558" s="2" t="str">
        <f>"女"</f>
        <v>女</v>
      </c>
      <c r="D558" s="2" t="str">
        <f>"2000-02-04"</f>
        <v>2000-02-04</v>
      </c>
    </row>
    <row r="559" spans="1:4" ht="15.75" customHeight="1" x14ac:dyDescent="0.2">
      <c r="A559" s="2" t="s">
        <v>42</v>
      </c>
      <c r="B559" s="2" t="str">
        <f>"李斌"</f>
        <v>李斌</v>
      </c>
      <c r="C559" s="2" t="str">
        <f>"男"</f>
        <v>男</v>
      </c>
      <c r="D559" s="2" t="str">
        <f>"1988-12-09"</f>
        <v>1988-12-09</v>
      </c>
    </row>
    <row r="560" spans="1:4" ht="15.75" customHeight="1" x14ac:dyDescent="0.2">
      <c r="A560" s="2" t="s">
        <v>5</v>
      </c>
      <c r="B560" s="2" t="str">
        <f>"钟双羽"</f>
        <v>钟双羽</v>
      </c>
      <c r="C560" s="2" t="str">
        <f>"女"</f>
        <v>女</v>
      </c>
      <c r="D560" s="2" t="str">
        <f>"1997-02-20"</f>
        <v>1997-02-20</v>
      </c>
    </row>
    <row r="561" spans="1:4" ht="15.75" customHeight="1" x14ac:dyDescent="0.2">
      <c r="A561" s="2" t="s">
        <v>49</v>
      </c>
      <c r="B561" s="2" t="str">
        <f>"谭天健"</f>
        <v>谭天健</v>
      </c>
      <c r="C561" s="2" t="str">
        <f>"男"</f>
        <v>男</v>
      </c>
      <c r="D561" s="2" t="str">
        <f>"1999-02-15"</f>
        <v>1999-02-15</v>
      </c>
    </row>
    <row r="562" spans="1:4" ht="15.75" customHeight="1" x14ac:dyDescent="0.2">
      <c r="A562" s="2" t="s">
        <v>22</v>
      </c>
      <c r="B562" s="2" t="str">
        <f>"张银"</f>
        <v>张银</v>
      </c>
      <c r="C562" s="2" t="str">
        <f>"女"</f>
        <v>女</v>
      </c>
      <c r="D562" s="2" t="str">
        <f>"1996-10-29"</f>
        <v>1996-10-29</v>
      </c>
    </row>
    <row r="563" spans="1:4" ht="15.75" customHeight="1" x14ac:dyDescent="0.2">
      <c r="A563" s="2" t="s">
        <v>54</v>
      </c>
      <c r="B563" s="2" t="str">
        <f>"肖博文"</f>
        <v>肖博文</v>
      </c>
      <c r="C563" s="2" t="str">
        <f>"男"</f>
        <v>男</v>
      </c>
      <c r="D563" s="2" t="str">
        <f>"1996-01-02"</f>
        <v>1996-01-02</v>
      </c>
    </row>
    <row r="564" spans="1:4" ht="15.75" customHeight="1" x14ac:dyDescent="0.2">
      <c r="A564" s="2" t="s">
        <v>34</v>
      </c>
      <c r="B564" s="2" t="str">
        <f>"袁凤丽"</f>
        <v>袁凤丽</v>
      </c>
      <c r="C564" s="2" t="str">
        <f>"女"</f>
        <v>女</v>
      </c>
      <c r="D564" s="2" t="str">
        <f>"1998-10-26"</f>
        <v>1998-10-26</v>
      </c>
    </row>
    <row r="565" spans="1:4" ht="15.75" customHeight="1" x14ac:dyDescent="0.2">
      <c r="A565" s="2" t="s">
        <v>57</v>
      </c>
      <c r="B565" s="2" t="str">
        <f>"涂家丽"</f>
        <v>涂家丽</v>
      </c>
      <c r="C565" s="2" t="str">
        <f>"女"</f>
        <v>女</v>
      </c>
      <c r="D565" s="2" t="str">
        <f>"1998-07-08"</f>
        <v>1998-07-08</v>
      </c>
    </row>
    <row r="566" spans="1:4" ht="15.75" customHeight="1" x14ac:dyDescent="0.2">
      <c r="A566" s="2" t="s">
        <v>61</v>
      </c>
      <c r="B566" s="2" t="str">
        <f>"王康"</f>
        <v>王康</v>
      </c>
      <c r="C566" s="2" t="str">
        <f>"女"</f>
        <v>女</v>
      </c>
      <c r="D566" s="2" t="str">
        <f>"1996-02-06"</f>
        <v>1996-02-06</v>
      </c>
    </row>
    <row r="567" spans="1:4" ht="15.75" customHeight="1" x14ac:dyDescent="0.2">
      <c r="A567" s="2" t="s">
        <v>40</v>
      </c>
      <c r="B567" s="2" t="str">
        <f>"李炜忆"</f>
        <v>李炜忆</v>
      </c>
      <c r="C567" s="2" t="str">
        <f>"女"</f>
        <v>女</v>
      </c>
      <c r="D567" s="2" t="str">
        <f>"1999-10-22"</f>
        <v>1999-10-22</v>
      </c>
    </row>
    <row r="568" spans="1:4" ht="15.75" customHeight="1" x14ac:dyDescent="0.2">
      <c r="A568" s="2" t="s">
        <v>23</v>
      </c>
      <c r="B568" s="2" t="str">
        <f>"段葳屹"</f>
        <v>段葳屹</v>
      </c>
      <c r="C568" s="2" t="str">
        <f>"男"</f>
        <v>男</v>
      </c>
      <c r="D568" s="2" t="str">
        <f>"1998-10-22"</f>
        <v>1998-10-22</v>
      </c>
    </row>
    <row r="569" spans="1:4" ht="15.75" customHeight="1" x14ac:dyDescent="0.2">
      <c r="A569" s="2" t="s">
        <v>43</v>
      </c>
      <c r="B569" s="2" t="str">
        <f>"张雅妮"</f>
        <v>张雅妮</v>
      </c>
      <c r="C569" s="2" t="str">
        <f>"女"</f>
        <v>女</v>
      </c>
      <c r="D569" s="2" t="str">
        <f>"1995-07-06"</f>
        <v>1995-07-06</v>
      </c>
    </row>
    <row r="570" spans="1:4" ht="15.75" customHeight="1" x14ac:dyDescent="0.2">
      <c r="A570" s="2" t="s">
        <v>8</v>
      </c>
      <c r="B570" s="2" t="str">
        <f>"赵鸿星"</f>
        <v>赵鸿星</v>
      </c>
      <c r="C570" s="2" t="str">
        <f>"男"</f>
        <v>男</v>
      </c>
      <c r="D570" s="2" t="str">
        <f>"1991-07-31"</f>
        <v>1991-07-31</v>
      </c>
    </row>
    <row r="571" spans="1:4" ht="15.75" customHeight="1" x14ac:dyDescent="0.2">
      <c r="A571" s="2" t="s">
        <v>10</v>
      </c>
      <c r="B571" s="2" t="str">
        <f>"李若婧"</f>
        <v>李若婧</v>
      </c>
      <c r="C571" s="2" t="str">
        <f>"女"</f>
        <v>女</v>
      </c>
      <c r="D571" s="2" t="str">
        <f>"2000-03-24"</f>
        <v>2000-03-24</v>
      </c>
    </row>
    <row r="572" spans="1:4" ht="15.75" customHeight="1" x14ac:dyDescent="0.2">
      <c r="A572" s="2" t="s">
        <v>30</v>
      </c>
      <c r="B572" s="2" t="str">
        <f>"孙怡"</f>
        <v>孙怡</v>
      </c>
      <c r="C572" s="2" t="str">
        <f>"女"</f>
        <v>女</v>
      </c>
      <c r="D572" s="2" t="str">
        <f>"1994-08-30"</f>
        <v>1994-08-30</v>
      </c>
    </row>
    <row r="573" spans="1:4" ht="15.75" customHeight="1" x14ac:dyDescent="0.2">
      <c r="A573" s="2" t="s">
        <v>29</v>
      </c>
      <c r="B573" s="2" t="str">
        <f>"郑可晴"</f>
        <v>郑可晴</v>
      </c>
      <c r="C573" s="2" t="str">
        <f>"女"</f>
        <v>女</v>
      </c>
      <c r="D573" s="2" t="str">
        <f>"2000-07-01"</f>
        <v>2000-07-01</v>
      </c>
    </row>
    <row r="574" spans="1:4" ht="15.75" customHeight="1" x14ac:dyDescent="0.2">
      <c r="A574" s="2" t="s">
        <v>36</v>
      </c>
      <c r="B574" s="2" t="str">
        <f>"覃泥冰"</f>
        <v>覃泥冰</v>
      </c>
      <c r="C574" s="2" t="str">
        <f>"女"</f>
        <v>女</v>
      </c>
      <c r="D574" s="2" t="str">
        <f>"1998-04-21"</f>
        <v>1998-04-21</v>
      </c>
    </row>
    <row r="575" spans="1:4" ht="15.75" customHeight="1" x14ac:dyDescent="0.2">
      <c r="A575" s="2" t="s">
        <v>22</v>
      </c>
      <c r="B575" s="2" t="str">
        <f>"汤艳芳"</f>
        <v>汤艳芳</v>
      </c>
      <c r="C575" s="2" t="str">
        <f>"女"</f>
        <v>女</v>
      </c>
      <c r="D575" s="2" t="str">
        <f>"1995-11-15"</f>
        <v>1995-11-15</v>
      </c>
    </row>
    <row r="576" spans="1:4" ht="15.75" customHeight="1" x14ac:dyDescent="0.2">
      <c r="A576" s="2" t="s">
        <v>17</v>
      </c>
      <c r="B576" s="2" t="str">
        <f>"黎伟"</f>
        <v>黎伟</v>
      </c>
      <c r="C576" s="2" t="str">
        <f>"男"</f>
        <v>男</v>
      </c>
      <c r="D576" s="2" t="str">
        <f>"1994-04-18"</f>
        <v>1994-04-18</v>
      </c>
    </row>
    <row r="577" spans="1:4" ht="15.75" customHeight="1" x14ac:dyDescent="0.2">
      <c r="A577" s="2" t="s">
        <v>10</v>
      </c>
      <c r="B577" s="2" t="str">
        <f>"刘雅凌"</f>
        <v>刘雅凌</v>
      </c>
      <c r="C577" s="2" t="str">
        <f>"女"</f>
        <v>女</v>
      </c>
      <c r="D577" s="2" t="str">
        <f>"1996-11-25"</f>
        <v>1996-11-25</v>
      </c>
    </row>
    <row r="578" spans="1:4" ht="15.75" customHeight="1" x14ac:dyDescent="0.2">
      <c r="A578" s="2" t="s">
        <v>20</v>
      </c>
      <c r="B578" s="2" t="str">
        <f>"冉怡婷"</f>
        <v>冉怡婷</v>
      </c>
      <c r="C578" s="2" t="str">
        <f>"女"</f>
        <v>女</v>
      </c>
      <c r="D578" s="2" t="str">
        <f>"1993-03-12"</f>
        <v>1993-03-12</v>
      </c>
    </row>
    <row r="579" spans="1:4" ht="15.75" customHeight="1" x14ac:dyDescent="0.2">
      <c r="A579" s="2" t="s">
        <v>73</v>
      </c>
      <c r="B579" s="2" t="str">
        <f>"刘茜"</f>
        <v>刘茜</v>
      </c>
      <c r="C579" s="2" t="str">
        <f>"女"</f>
        <v>女</v>
      </c>
      <c r="D579" s="2" t="str">
        <f>"1997-02-18"</f>
        <v>1997-02-18</v>
      </c>
    </row>
    <row r="580" spans="1:4" ht="15.75" customHeight="1" x14ac:dyDescent="0.2">
      <c r="A580" s="2" t="s">
        <v>15</v>
      </c>
      <c r="B580" s="2" t="str">
        <f>"何园园"</f>
        <v>何园园</v>
      </c>
      <c r="C580" s="2" t="str">
        <f>"女"</f>
        <v>女</v>
      </c>
      <c r="D580" s="2" t="str">
        <f>"1989-03-02"</f>
        <v>1989-03-02</v>
      </c>
    </row>
    <row r="581" spans="1:4" ht="15.75" customHeight="1" x14ac:dyDescent="0.2">
      <c r="A581" s="2" t="s">
        <v>66</v>
      </c>
      <c r="B581" s="2" t="str">
        <f>"李娇"</f>
        <v>李娇</v>
      </c>
      <c r="C581" s="2" t="str">
        <f>"女"</f>
        <v>女</v>
      </c>
      <c r="D581" s="2" t="str">
        <f>"1999-01-27"</f>
        <v>1999-01-27</v>
      </c>
    </row>
    <row r="582" spans="1:4" ht="15.75" customHeight="1" x14ac:dyDescent="0.2">
      <c r="A582" s="2" t="s">
        <v>14</v>
      </c>
      <c r="B582" s="2" t="str">
        <f>"邹跞译"</f>
        <v>邹跞译</v>
      </c>
      <c r="C582" s="2" t="str">
        <f>"男"</f>
        <v>男</v>
      </c>
      <c r="D582" s="2" t="str">
        <f>"1996-11-28"</f>
        <v>1996-11-28</v>
      </c>
    </row>
    <row r="583" spans="1:4" ht="15.75" customHeight="1" x14ac:dyDescent="0.2">
      <c r="A583" s="2" t="s">
        <v>36</v>
      </c>
      <c r="B583" s="2" t="str">
        <f>"沈琪林"</f>
        <v>沈琪林</v>
      </c>
      <c r="C583" s="2" t="str">
        <f>"男"</f>
        <v>男</v>
      </c>
      <c r="D583" s="2" t="str">
        <f>"1997-11-27"</f>
        <v>1997-11-27</v>
      </c>
    </row>
    <row r="584" spans="1:4" ht="15.75" customHeight="1" x14ac:dyDescent="0.2">
      <c r="A584" s="2" t="s">
        <v>48</v>
      </c>
      <c r="B584" s="2" t="str">
        <f>"杨文"</f>
        <v>杨文</v>
      </c>
      <c r="C584" s="2" t="str">
        <f>"男"</f>
        <v>男</v>
      </c>
      <c r="D584" s="2" t="str">
        <f>"1991-07-12"</f>
        <v>1991-07-12</v>
      </c>
    </row>
    <row r="585" spans="1:4" ht="15.75" customHeight="1" x14ac:dyDescent="0.2">
      <c r="A585" s="2" t="s">
        <v>20</v>
      </c>
      <c r="B585" s="2" t="str">
        <f>"周毅"</f>
        <v>周毅</v>
      </c>
      <c r="C585" s="2" t="str">
        <f>"男"</f>
        <v>男</v>
      </c>
      <c r="D585" s="2" t="str">
        <f>"1998-06-26"</f>
        <v>1998-06-26</v>
      </c>
    </row>
    <row r="586" spans="1:4" ht="15.75" customHeight="1" x14ac:dyDescent="0.2">
      <c r="A586" s="2" t="s">
        <v>37</v>
      </c>
      <c r="B586" s="2" t="str">
        <f>"张田"</f>
        <v>张田</v>
      </c>
      <c r="C586" s="2" t="str">
        <f>"男"</f>
        <v>男</v>
      </c>
      <c r="D586" s="2" t="str">
        <f>"1995-08-12"</f>
        <v>1995-08-12</v>
      </c>
    </row>
    <row r="587" spans="1:4" ht="15.75" customHeight="1" x14ac:dyDescent="0.2">
      <c r="A587" s="2" t="s">
        <v>10</v>
      </c>
      <c r="B587" s="2" t="str">
        <f>"熊文婧"</f>
        <v>熊文婧</v>
      </c>
      <c r="C587" s="2" t="str">
        <f>"女"</f>
        <v>女</v>
      </c>
      <c r="D587" s="2" t="str">
        <f>"1996-09-09"</f>
        <v>1996-09-09</v>
      </c>
    </row>
    <row r="588" spans="1:4" ht="15.75" customHeight="1" x14ac:dyDescent="0.2">
      <c r="A588" s="2" t="s">
        <v>23</v>
      </c>
      <c r="B588" s="2" t="str">
        <f>"张禹龙"</f>
        <v>张禹龙</v>
      </c>
      <c r="C588" s="2" t="str">
        <f>"男"</f>
        <v>男</v>
      </c>
      <c r="D588" s="2" t="str">
        <f>"1994-08-06"</f>
        <v>1994-08-06</v>
      </c>
    </row>
    <row r="589" spans="1:4" ht="15.75" customHeight="1" x14ac:dyDescent="0.2">
      <c r="A589" s="2" t="s">
        <v>40</v>
      </c>
      <c r="B589" s="2" t="str">
        <f>"罗兰"</f>
        <v>罗兰</v>
      </c>
      <c r="C589" s="2" t="str">
        <f>"女"</f>
        <v>女</v>
      </c>
      <c r="D589" s="2" t="str">
        <f>"1999-02-12"</f>
        <v>1999-02-12</v>
      </c>
    </row>
    <row r="590" spans="1:4" ht="15.75" customHeight="1" x14ac:dyDescent="0.2">
      <c r="A590" s="2" t="s">
        <v>31</v>
      </c>
      <c r="B590" s="2" t="str">
        <f>"雷昊特"</f>
        <v>雷昊特</v>
      </c>
      <c r="C590" s="2" t="str">
        <f>"男"</f>
        <v>男</v>
      </c>
      <c r="D590" s="2" t="str">
        <f>"1996-01-03"</f>
        <v>1996-01-03</v>
      </c>
    </row>
    <row r="591" spans="1:4" ht="15.75" customHeight="1" x14ac:dyDescent="0.2">
      <c r="A591" s="2" t="s">
        <v>20</v>
      </c>
      <c r="B591" s="2" t="str">
        <f>"龙腾"</f>
        <v>龙腾</v>
      </c>
      <c r="C591" s="2" t="str">
        <f>"男"</f>
        <v>男</v>
      </c>
      <c r="D591" s="2" t="str">
        <f>"1992-04-11"</f>
        <v>1992-04-11</v>
      </c>
    </row>
    <row r="592" spans="1:4" ht="15.75" customHeight="1" x14ac:dyDescent="0.2">
      <c r="A592" s="2" t="s">
        <v>37</v>
      </c>
      <c r="B592" s="2" t="str">
        <f>"王舒野"</f>
        <v>王舒野</v>
      </c>
      <c r="C592" s="2" t="str">
        <f>"男"</f>
        <v>男</v>
      </c>
      <c r="D592" s="2" t="str">
        <f>"1994-02-15"</f>
        <v>1994-02-15</v>
      </c>
    </row>
    <row r="593" spans="1:4" ht="15.75" customHeight="1" x14ac:dyDescent="0.2">
      <c r="A593" s="2" t="s">
        <v>22</v>
      </c>
      <c r="B593" s="2" t="str">
        <f>"黄爽"</f>
        <v>黄爽</v>
      </c>
      <c r="C593" s="2" t="str">
        <f>"女"</f>
        <v>女</v>
      </c>
      <c r="D593" s="2" t="str">
        <f>"1999-08-20"</f>
        <v>1999-08-20</v>
      </c>
    </row>
    <row r="594" spans="1:4" ht="15.75" customHeight="1" x14ac:dyDescent="0.2">
      <c r="A594" s="2" t="s">
        <v>12</v>
      </c>
      <c r="B594" s="2" t="str">
        <f>"熊涛"</f>
        <v>熊涛</v>
      </c>
      <c r="C594" s="2" t="str">
        <f>"男"</f>
        <v>男</v>
      </c>
      <c r="D594" s="2" t="str">
        <f>"1986-06-30"</f>
        <v>1986-06-30</v>
      </c>
    </row>
    <row r="595" spans="1:4" ht="15.75" customHeight="1" x14ac:dyDescent="0.2">
      <c r="A595" s="2" t="s">
        <v>36</v>
      </c>
      <c r="B595" s="2" t="str">
        <f>"雷琴"</f>
        <v>雷琴</v>
      </c>
      <c r="C595" s="2" t="str">
        <f>"女"</f>
        <v>女</v>
      </c>
      <c r="D595" s="2" t="str">
        <f>"1993-08-06"</f>
        <v>1993-08-06</v>
      </c>
    </row>
    <row r="596" spans="1:4" ht="15.75" customHeight="1" x14ac:dyDescent="0.2">
      <c r="A596" s="2" t="s">
        <v>14</v>
      </c>
      <c r="B596" s="2" t="str">
        <f>"高啸天"</f>
        <v>高啸天</v>
      </c>
      <c r="C596" s="2" t="str">
        <f>"男"</f>
        <v>男</v>
      </c>
      <c r="D596" s="2" t="str">
        <f>"1989-08-15"</f>
        <v>1989-08-15</v>
      </c>
    </row>
    <row r="597" spans="1:4" ht="15.75" customHeight="1" x14ac:dyDescent="0.2">
      <c r="A597" s="2" t="s">
        <v>8</v>
      </c>
      <c r="B597" s="2" t="str">
        <f>"朱志纯"</f>
        <v>朱志纯</v>
      </c>
      <c r="C597" s="2" t="str">
        <f>"女"</f>
        <v>女</v>
      </c>
      <c r="D597" s="2" t="str">
        <f>"1994-03-12"</f>
        <v>1994-03-12</v>
      </c>
    </row>
    <row r="598" spans="1:4" ht="15.75" customHeight="1" x14ac:dyDescent="0.2">
      <c r="A598" s="2" t="s">
        <v>8</v>
      </c>
      <c r="B598" s="2" t="str">
        <f>"高林林"</f>
        <v>高林林</v>
      </c>
      <c r="C598" s="2" t="str">
        <f>"女"</f>
        <v>女</v>
      </c>
      <c r="D598" s="2" t="str">
        <f>"1988-04-11"</f>
        <v>1988-04-11</v>
      </c>
    </row>
    <row r="599" spans="1:4" ht="15.75" customHeight="1" x14ac:dyDescent="0.2">
      <c r="A599" s="2" t="s">
        <v>60</v>
      </c>
      <c r="B599" s="2" t="str">
        <f>"罗小虎"</f>
        <v>罗小虎</v>
      </c>
      <c r="C599" s="2" t="str">
        <f>"男"</f>
        <v>男</v>
      </c>
      <c r="D599" s="2" t="str">
        <f>"1999-01-28"</f>
        <v>1999-01-28</v>
      </c>
    </row>
    <row r="600" spans="1:4" ht="15.75" customHeight="1" x14ac:dyDescent="0.2">
      <c r="A600" s="2" t="s">
        <v>4</v>
      </c>
      <c r="B600" s="2" t="str">
        <f>"覃彭"</f>
        <v>覃彭</v>
      </c>
      <c r="C600" s="2" t="str">
        <f>"男"</f>
        <v>男</v>
      </c>
      <c r="D600" s="2" t="str">
        <f>"1999-02-06"</f>
        <v>1999-02-06</v>
      </c>
    </row>
    <row r="601" spans="1:4" ht="15.75" customHeight="1" x14ac:dyDescent="0.2">
      <c r="A601" s="2" t="s">
        <v>56</v>
      </c>
      <c r="B601" s="2" t="str">
        <f>"李梦婷"</f>
        <v>李梦婷</v>
      </c>
      <c r="C601" s="2" t="str">
        <f>"女"</f>
        <v>女</v>
      </c>
      <c r="D601" s="2" t="str">
        <f>"1997-02-06"</f>
        <v>1997-02-06</v>
      </c>
    </row>
    <row r="602" spans="1:4" ht="15.75" customHeight="1" x14ac:dyDescent="0.2">
      <c r="A602" s="2" t="s">
        <v>52</v>
      </c>
      <c r="B602" s="2" t="str">
        <f>"高彪"</f>
        <v>高彪</v>
      </c>
      <c r="C602" s="2" t="str">
        <f>"男"</f>
        <v>男</v>
      </c>
      <c r="D602" s="2" t="str">
        <f>"1995-09-03"</f>
        <v>1995-09-03</v>
      </c>
    </row>
    <row r="603" spans="1:4" ht="15.75" customHeight="1" x14ac:dyDescent="0.2">
      <c r="A603" s="2" t="s">
        <v>65</v>
      </c>
      <c r="B603" s="2" t="str">
        <f>"田盈化"</f>
        <v>田盈化</v>
      </c>
      <c r="C603" s="2" t="str">
        <f>"女"</f>
        <v>女</v>
      </c>
      <c r="D603" s="2" t="str">
        <f>"1991-08-03"</f>
        <v>1991-08-03</v>
      </c>
    </row>
    <row r="604" spans="1:4" ht="15.75" customHeight="1" x14ac:dyDescent="0.2">
      <c r="A604" s="2" t="s">
        <v>9</v>
      </c>
      <c r="B604" s="2" t="str">
        <f>"胡阳"</f>
        <v>胡阳</v>
      </c>
      <c r="C604" s="2" t="str">
        <f>"女"</f>
        <v>女</v>
      </c>
      <c r="D604" s="2" t="str">
        <f>"1995-04-06"</f>
        <v>1995-04-06</v>
      </c>
    </row>
    <row r="605" spans="1:4" ht="15.75" customHeight="1" x14ac:dyDescent="0.2">
      <c r="A605" s="2" t="s">
        <v>15</v>
      </c>
      <c r="B605" s="2" t="str">
        <f>"李毅"</f>
        <v>李毅</v>
      </c>
      <c r="C605" s="2" t="str">
        <f>"男"</f>
        <v>男</v>
      </c>
      <c r="D605" s="2" t="str">
        <f>"1994-03-06"</f>
        <v>1994-03-06</v>
      </c>
    </row>
    <row r="606" spans="1:4" ht="15.75" customHeight="1" x14ac:dyDescent="0.2">
      <c r="A606" s="2" t="s">
        <v>40</v>
      </c>
      <c r="B606" s="2" t="str">
        <f>"孙豪南"</f>
        <v>孙豪南</v>
      </c>
      <c r="C606" s="2" t="str">
        <f>"男"</f>
        <v>男</v>
      </c>
      <c r="D606" s="2" t="str">
        <f>"1995-01-27"</f>
        <v>1995-01-27</v>
      </c>
    </row>
    <row r="607" spans="1:4" ht="15.75" customHeight="1" x14ac:dyDescent="0.2">
      <c r="A607" s="2" t="s">
        <v>8</v>
      </c>
      <c r="B607" s="2" t="str">
        <f>"王靖舜"</f>
        <v>王靖舜</v>
      </c>
      <c r="C607" s="2" t="str">
        <f>"男"</f>
        <v>男</v>
      </c>
      <c r="D607" s="2" t="str">
        <f>"1998-12-21"</f>
        <v>1998-12-21</v>
      </c>
    </row>
    <row r="608" spans="1:4" ht="15.75" customHeight="1" x14ac:dyDescent="0.2">
      <c r="A608" s="2" t="s">
        <v>54</v>
      </c>
      <c r="B608" s="2" t="str">
        <f>"石泽霖"</f>
        <v>石泽霖</v>
      </c>
      <c r="C608" s="2" t="str">
        <f>"男"</f>
        <v>男</v>
      </c>
      <c r="D608" s="2" t="str">
        <f>"1994-06-14"</f>
        <v>1994-06-14</v>
      </c>
    </row>
    <row r="609" spans="1:4" ht="15.75" customHeight="1" x14ac:dyDescent="0.2">
      <c r="A609" s="2" t="s">
        <v>42</v>
      </c>
      <c r="B609" s="2" t="str">
        <f>"李欣"</f>
        <v>李欣</v>
      </c>
      <c r="C609" s="2" t="str">
        <f>"男"</f>
        <v>男</v>
      </c>
      <c r="D609" s="2" t="str">
        <f>"1997-10-02"</f>
        <v>1997-10-02</v>
      </c>
    </row>
    <row r="610" spans="1:4" ht="15.75" customHeight="1" x14ac:dyDescent="0.2">
      <c r="A610" s="2" t="s">
        <v>8</v>
      </c>
      <c r="B610" s="2" t="str">
        <f>"鲁晚晴"</f>
        <v>鲁晚晴</v>
      </c>
      <c r="C610" s="2" t="str">
        <f>"女"</f>
        <v>女</v>
      </c>
      <c r="D610" s="2" t="str">
        <f>"1998-05-22"</f>
        <v>1998-05-22</v>
      </c>
    </row>
    <row r="611" spans="1:4" ht="15.75" customHeight="1" x14ac:dyDescent="0.2">
      <c r="A611" s="2" t="s">
        <v>24</v>
      </c>
      <c r="B611" s="2" t="str">
        <f>"卓儒位"</f>
        <v>卓儒位</v>
      </c>
      <c r="C611" s="2" t="str">
        <f>"男"</f>
        <v>男</v>
      </c>
      <c r="D611" s="2" t="str">
        <f>"1996-12-16"</f>
        <v>1996-12-16</v>
      </c>
    </row>
    <row r="612" spans="1:4" ht="15.75" customHeight="1" x14ac:dyDescent="0.2">
      <c r="A612" s="2" t="s">
        <v>55</v>
      </c>
      <c r="B612" s="2" t="str">
        <f>"王鑫鑫"</f>
        <v>王鑫鑫</v>
      </c>
      <c r="C612" s="2" t="str">
        <f>"男"</f>
        <v>男</v>
      </c>
      <c r="D612" s="2" t="str">
        <f>"1999-03-11"</f>
        <v>1999-03-11</v>
      </c>
    </row>
    <row r="613" spans="1:4" ht="15.75" customHeight="1" x14ac:dyDescent="0.2">
      <c r="A613" s="2" t="s">
        <v>14</v>
      </c>
      <c r="B613" s="2" t="str">
        <f>"刘雨南"</f>
        <v>刘雨南</v>
      </c>
      <c r="C613" s="2" t="str">
        <f>"男"</f>
        <v>男</v>
      </c>
      <c r="D613" s="2" t="str">
        <f>"1998-08-15"</f>
        <v>1998-08-15</v>
      </c>
    </row>
    <row r="614" spans="1:4" ht="15.75" customHeight="1" x14ac:dyDescent="0.2">
      <c r="A614" s="2" t="s">
        <v>40</v>
      </c>
      <c r="B614" s="2" t="str">
        <f>"赵雨檀"</f>
        <v>赵雨檀</v>
      </c>
      <c r="C614" s="2" t="str">
        <f>"男"</f>
        <v>男</v>
      </c>
      <c r="D614" s="2" t="str">
        <f>"1996-10-06"</f>
        <v>1996-10-06</v>
      </c>
    </row>
    <row r="615" spans="1:4" ht="15.75" customHeight="1" x14ac:dyDescent="0.2">
      <c r="A615" s="2" t="s">
        <v>31</v>
      </c>
      <c r="B615" s="2" t="str">
        <f>"郭美玲"</f>
        <v>郭美玲</v>
      </c>
      <c r="C615" s="2" t="str">
        <f>"女"</f>
        <v>女</v>
      </c>
      <c r="D615" s="2" t="str">
        <f>"1998-09-03"</f>
        <v>1998-09-03</v>
      </c>
    </row>
    <row r="616" spans="1:4" ht="15.75" customHeight="1" x14ac:dyDescent="0.2">
      <c r="A616" s="2" t="s">
        <v>40</v>
      </c>
      <c r="B616" s="2" t="str">
        <f>"黄琛"</f>
        <v>黄琛</v>
      </c>
      <c r="C616" s="2" t="str">
        <f>"女"</f>
        <v>女</v>
      </c>
      <c r="D616" s="2" t="str">
        <f>"1999-04-17"</f>
        <v>1999-04-17</v>
      </c>
    </row>
    <row r="617" spans="1:4" ht="15.75" customHeight="1" x14ac:dyDescent="0.2">
      <c r="A617" s="2" t="s">
        <v>59</v>
      </c>
      <c r="B617" s="2" t="str">
        <f>"历曼婷"</f>
        <v>历曼婷</v>
      </c>
      <c r="C617" s="2" t="str">
        <f>"女"</f>
        <v>女</v>
      </c>
      <c r="D617" s="2" t="str">
        <f>"1993-12-03"</f>
        <v>1993-12-03</v>
      </c>
    </row>
    <row r="618" spans="1:4" ht="15.75" customHeight="1" x14ac:dyDescent="0.2">
      <c r="A618" s="2" t="s">
        <v>55</v>
      </c>
      <c r="B618" s="2" t="str">
        <f>"谭焱"</f>
        <v>谭焱</v>
      </c>
      <c r="C618" s="2" t="str">
        <f>"女"</f>
        <v>女</v>
      </c>
      <c r="D618" s="2" t="str">
        <f>"1993-11-26"</f>
        <v>1993-11-26</v>
      </c>
    </row>
    <row r="619" spans="1:4" ht="15.75" customHeight="1" x14ac:dyDescent="0.2">
      <c r="A619" s="2" t="s">
        <v>8</v>
      </c>
      <c r="B619" s="2" t="str">
        <f>"黄至钰"</f>
        <v>黄至钰</v>
      </c>
      <c r="C619" s="2" t="str">
        <f>"男"</f>
        <v>男</v>
      </c>
      <c r="D619" s="2" t="str">
        <f>"1999-12-01"</f>
        <v>1999-12-01</v>
      </c>
    </row>
    <row r="620" spans="1:4" ht="15.75" customHeight="1" x14ac:dyDescent="0.2">
      <c r="A620" s="2" t="s">
        <v>50</v>
      </c>
      <c r="B620" s="2" t="str">
        <f>"许留楚"</f>
        <v>许留楚</v>
      </c>
      <c r="C620" s="2" t="str">
        <f>"女"</f>
        <v>女</v>
      </c>
      <c r="D620" s="2" t="str">
        <f>"1997-03-14"</f>
        <v>1997-03-14</v>
      </c>
    </row>
    <row r="621" spans="1:4" ht="15.75" customHeight="1" x14ac:dyDescent="0.2">
      <c r="A621" s="2" t="s">
        <v>61</v>
      </c>
      <c r="B621" s="2" t="str">
        <f>"肖雨晴"</f>
        <v>肖雨晴</v>
      </c>
      <c r="C621" s="2" t="str">
        <f>"女"</f>
        <v>女</v>
      </c>
      <c r="D621" s="2" t="str">
        <f>"1996-08-29"</f>
        <v>1996-08-29</v>
      </c>
    </row>
    <row r="622" spans="1:4" ht="15.75" customHeight="1" x14ac:dyDescent="0.2">
      <c r="A622" s="2" t="s">
        <v>61</v>
      </c>
      <c r="B622" s="2" t="str">
        <f>"郑惠敏"</f>
        <v>郑惠敏</v>
      </c>
      <c r="C622" s="2" t="str">
        <f>"女"</f>
        <v>女</v>
      </c>
      <c r="D622" s="2" t="str">
        <f>"1998-11-02"</f>
        <v>1998-11-02</v>
      </c>
    </row>
    <row r="623" spans="1:4" ht="15.75" customHeight="1" x14ac:dyDescent="0.2">
      <c r="A623" s="2" t="s">
        <v>27</v>
      </c>
      <c r="B623" s="2" t="str">
        <f>"张保"</f>
        <v>张保</v>
      </c>
      <c r="C623" s="2" t="str">
        <f>"男"</f>
        <v>男</v>
      </c>
      <c r="D623" s="2" t="str">
        <f>"1993-01-07"</f>
        <v>1993-01-07</v>
      </c>
    </row>
    <row r="624" spans="1:4" ht="15.75" customHeight="1" x14ac:dyDescent="0.2">
      <c r="A624" s="2" t="s">
        <v>30</v>
      </c>
      <c r="B624" s="2" t="str">
        <f>"郑雅婷"</f>
        <v>郑雅婷</v>
      </c>
      <c r="C624" s="2" t="str">
        <f>"女"</f>
        <v>女</v>
      </c>
      <c r="D624" s="2" t="str">
        <f>"1993-09-22"</f>
        <v>1993-09-22</v>
      </c>
    </row>
    <row r="625" spans="1:4" ht="15.75" customHeight="1" x14ac:dyDescent="0.2">
      <c r="A625" s="2" t="s">
        <v>12</v>
      </c>
      <c r="B625" s="2" t="str">
        <f>"周慧子"</f>
        <v>周慧子</v>
      </c>
      <c r="C625" s="2" t="str">
        <f>"女"</f>
        <v>女</v>
      </c>
      <c r="D625" s="2" t="str">
        <f>"2000-01-01"</f>
        <v>2000-01-01</v>
      </c>
    </row>
    <row r="626" spans="1:4" ht="15.75" customHeight="1" x14ac:dyDescent="0.2">
      <c r="A626" s="2" t="s">
        <v>48</v>
      </c>
      <c r="B626" s="2" t="str">
        <f>"李思妍"</f>
        <v>李思妍</v>
      </c>
      <c r="C626" s="2" t="str">
        <f>"女"</f>
        <v>女</v>
      </c>
      <c r="D626" s="2" t="str">
        <f>"1997-03-12"</f>
        <v>1997-03-12</v>
      </c>
    </row>
    <row r="627" spans="1:4" ht="15.75" customHeight="1" x14ac:dyDescent="0.2">
      <c r="A627" s="2" t="s">
        <v>24</v>
      </c>
      <c r="B627" s="2" t="str">
        <f>"田云升"</f>
        <v>田云升</v>
      </c>
      <c r="C627" s="2" t="str">
        <f>"男"</f>
        <v>男</v>
      </c>
      <c r="D627" s="2" t="str">
        <f>"1990-05-10"</f>
        <v>1990-05-10</v>
      </c>
    </row>
    <row r="628" spans="1:4" ht="15.75" customHeight="1" x14ac:dyDescent="0.2">
      <c r="A628" s="2" t="s">
        <v>49</v>
      </c>
      <c r="B628" s="2" t="str">
        <f>"彭柯源"</f>
        <v>彭柯源</v>
      </c>
      <c r="C628" s="2" t="str">
        <f>"男"</f>
        <v>男</v>
      </c>
      <c r="D628" s="2" t="str">
        <f>"1999-01-23"</f>
        <v>1999-01-23</v>
      </c>
    </row>
    <row r="629" spans="1:4" ht="15.75" customHeight="1" x14ac:dyDescent="0.2">
      <c r="A629" s="2" t="s">
        <v>28</v>
      </c>
      <c r="B629" s="2" t="str">
        <f>"唐德明"</f>
        <v>唐德明</v>
      </c>
      <c r="C629" s="2" t="str">
        <f>"男"</f>
        <v>男</v>
      </c>
      <c r="D629" s="2" t="str">
        <f>"1995-12-31"</f>
        <v>1995-12-31</v>
      </c>
    </row>
    <row r="630" spans="1:4" ht="15.75" customHeight="1" x14ac:dyDescent="0.2">
      <c r="A630" s="2" t="s">
        <v>8</v>
      </c>
      <c r="B630" s="2" t="str">
        <f>"刘志雄"</f>
        <v>刘志雄</v>
      </c>
      <c r="C630" s="2" t="str">
        <f>"男"</f>
        <v>男</v>
      </c>
      <c r="D630" s="2" t="str">
        <f>"1994-05-15"</f>
        <v>1994-05-15</v>
      </c>
    </row>
    <row r="631" spans="1:4" ht="15.75" customHeight="1" x14ac:dyDescent="0.2">
      <c r="A631" s="2" t="s">
        <v>13</v>
      </c>
      <c r="B631" s="2" t="str">
        <f>"杨馥年"</f>
        <v>杨馥年</v>
      </c>
      <c r="C631" s="2" t="str">
        <f>"女"</f>
        <v>女</v>
      </c>
      <c r="D631" s="2" t="str">
        <f>"1987-04-05"</f>
        <v>1987-04-05</v>
      </c>
    </row>
    <row r="632" spans="1:4" ht="15.75" customHeight="1" x14ac:dyDescent="0.2">
      <c r="A632" s="2" t="s">
        <v>8</v>
      </c>
      <c r="B632" s="2" t="str">
        <f>"张业荣"</f>
        <v>张业荣</v>
      </c>
      <c r="C632" s="2" t="str">
        <f>"男"</f>
        <v>男</v>
      </c>
      <c r="D632" s="2" t="str">
        <f>"1995-11-13"</f>
        <v>1995-11-13</v>
      </c>
    </row>
    <row r="633" spans="1:4" ht="15.75" customHeight="1" x14ac:dyDescent="0.2">
      <c r="A633" s="2" t="s">
        <v>58</v>
      </c>
      <c r="B633" s="2" t="str">
        <f>"李倩倩"</f>
        <v>李倩倩</v>
      </c>
      <c r="C633" s="2" t="str">
        <f>"女"</f>
        <v>女</v>
      </c>
      <c r="D633" s="2" t="str">
        <f>"2000-01-20"</f>
        <v>2000-01-20</v>
      </c>
    </row>
    <row r="634" spans="1:4" ht="15.75" customHeight="1" x14ac:dyDescent="0.2">
      <c r="A634" s="2" t="s">
        <v>31</v>
      </c>
      <c r="B634" s="2" t="str">
        <f>"李艳"</f>
        <v>李艳</v>
      </c>
      <c r="C634" s="2" t="str">
        <f>"女"</f>
        <v>女</v>
      </c>
      <c r="D634" s="2" t="str">
        <f>"1987-02-08"</f>
        <v>1987-02-08</v>
      </c>
    </row>
    <row r="635" spans="1:4" ht="15.75" customHeight="1" x14ac:dyDescent="0.2">
      <c r="A635" s="2" t="s">
        <v>28</v>
      </c>
      <c r="B635" s="2" t="str">
        <f>"何安琪"</f>
        <v>何安琪</v>
      </c>
      <c r="C635" s="2" t="str">
        <f>"女"</f>
        <v>女</v>
      </c>
      <c r="D635" s="2" t="str">
        <f>"1992-02-25"</f>
        <v>1992-02-25</v>
      </c>
    </row>
    <row r="636" spans="1:4" ht="15.75" customHeight="1" x14ac:dyDescent="0.2">
      <c r="A636" s="2" t="s">
        <v>54</v>
      </c>
      <c r="B636" s="2" t="str">
        <f>"张力夫"</f>
        <v>张力夫</v>
      </c>
      <c r="C636" s="2" t="str">
        <f>"男"</f>
        <v>男</v>
      </c>
      <c r="D636" s="2" t="str">
        <f>"1998-10-11"</f>
        <v>1998-10-11</v>
      </c>
    </row>
    <row r="637" spans="1:4" ht="15.75" customHeight="1" x14ac:dyDescent="0.2">
      <c r="A637" s="2" t="s">
        <v>8</v>
      </c>
      <c r="B637" s="2" t="str">
        <f>"胡坤"</f>
        <v>胡坤</v>
      </c>
      <c r="C637" s="2" t="str">
        <f>"男"</f>
        <v>男</v>
      </c>
      <c r="D637" s="2" t="str">
        <f>"1991-07-17"</f>
        <v>1991-07-17</v>
      </c>
    </row>
    <row r="638" spans="1:4" ht="15.75" customHeight="1" x14ac:dyDescent="0.2">
      <c r="A638" s="2" t="s">
        <v>12</v>
      </c>
      <c r="B638" s="2" t="str">
        <f>"鲁涛"</f>
        <v>鲁涛</v>
      </c>
      <c r="C638" s="2" t="str">
        <f>"男"</f>
        <v>男</v>
      </c>
      <c r="D638" s="2" t="str">
        <f>"1987-10-12"</f>
        <v>1987-10-12</v>
      </c>
    </row>
    <row r="639" spans="1:4" ht="15.75" customHeight="1" x14ac:dyDescent="0.2">
      <c r="A639" s="2" t="s">
        <v>24</v>
      </c>
      <c r="B639" s="2" t="str">
        <f>"佘中霖"</f>
        <v>佘中霖</v>
      </c>
      <c r="C639" s="2" t="str">
        <f>"男"</f>
        <v>男</v>
      </c>
      <c r="D639" s="2" t="str">
        <f>"1993-09-15"</f>
        <v>1993-09-15</v>
      </c>
    </row>
    <row r="640" spans="1:4" ht="15.75" customHeight="1" x14ac:dyDescent="0.2">
      <c r="A640" s="2" t="s">
        <v>41</v>
      </c>
      <c r="B640" s="2" t="str">
        <f>"曾珂"</f>
        <v>曾珂</v>
      </c>
      <c r="C640" s="2" t="str">
        <f t="shared" ref="C640:C645" si="12">"女"</f>
        <v>女</v>
      </c>
      <c r="D640" s="2" t="str">
        <f>"1997-01-23"</f>
        <v>1997-01-23</v>
      </c>
    </row>
    <row r="641" spans="1:4" ht="15.75" customHeight="1" x14ac:dyDescent="0.2">
      <c r="A641" s="2" t="s">
        <v>28</v>
      </c>
      <c r="B641" s="2" t="str">
        <f>"刘灿"</f>
        <v>刘灿</v>
      </c>
      <c r="C641" s="2" t="str">
        <f t="shared" si="12"/>
        <v>女</v>
      </c>
      <c r="D641" s="2" t="str">
        <f>"1995-08-03"</f>
        <v>1995-08-03</v>
      </c>
    </row>
    <row r="642" spans="1:4" ht="15.75" customHeight="1" x14ac:dyDescent="0.2">
      <c r="A642" s="2" t="s">
        <v>40</v>
      </c>
      <c r="B642" s="2" t="str">
        <f>"杜一沅"</f>
        <v>杜一沅</v>
      </c>
      <c r="C642" s="2" t="str">
        <f t="shared" si="12"/>
        <v>女</v>
      </c>
      <c r="D642" s="2" t="str">
        <f>"1998-06-06"</f>
        <v>1998-06-06</v>
      </c>
    </row>
    <row r="643" spans="1:4" ht="15.75" customHeight="1" x14ac:dyDescent="0.2">
      <c r="A643" s="2" t="s">
        <v>55</v>
      </c>
      <c r="B643" s="2" t="str">
        <f>"高选"</f>
        <v>高选</v>
      </c>
      <c r="C643" s="2" t="str">
        <f t="shared" si="12"/>
        <v>女</v>
      </c>
      <c r="D643" s="2" t="str">
        <f>"1997-10-20"</f>
        <v>1997-10-20</v>
      </c>
    </row>
    <row r="644" spans="1:4" ht="15.75" customHeight="1" x14ac:dyDescent="0.2">
      <c r="A644" s="2" t="s">
        <v>50</v>
      </c>
      <c r="B644" s="2" t="str">
        <f>"韩漩"</f>
        <v>韩漩</v>
      </c>
      <c r="C644" s="2" t="str">
        <f t="shared" si="12"/>
        <v>女</v>
      </c>
      <c r="D644" s="2" t="str">
        <f>"1998-09-09"</f>
        <v>1998-09-09</v>
      </c>
    </row>
    <row r="645" spans="1:4" ht="15.75" customHeight="1" x14ac:dyDescent="0.2">
      <c r="A645" s="2" t="s">
        <v>24</v>
      </c>
      <c r="B645" s="2" t="str">
        <f>"黄彦霖"</f>
        <v>黄彦霖</v>
      </c>
      <c r="C645" s="2" t="str">
        <f t="shared" si="12"/>
        <v>女</v>
      </c>
      <c r="D645" s="2" t="str">
        <f>"1990-01-12"</f>
        <v>1990-01-12</v>
      </c>
    </row>
    <row r="646" spans="1:4" ht="15.75" customHeight="1" x14ac:dyDescent="0.2">
      <c r="A646" s="2" t="s">
        <v>16</v>
      </c>
      <c r="B646" s="2" t="str">
        <f>"王腾"</f>
        <v>王腾</v>
      </c>
      <c r="C646" s="2" t="str">
        <f>"男"</f>
        <v>男</v>
      </c>
      <c r="D646" s="2" t="str">
        <f>"2000-08-28"</f>
        <v>2000-08-28</v>
      </c>
    </row>
    <row r="647" spans="1:4" ht="15.75" customHeight="1" x14ac:dyDescent="0.2">
      <c r="A647" s="2" t="s">
        <v>30</v>
      </c>
      <c r="B647" s="2" t="str">
        <f>"陈洁"</f>
        <v>陈洁</v>
      </c>
      <c r="C647" s="2" t="str">
        <f>"女"</f>
        <v>女</v>
      </c>
      <c r="D647" s="2" t="str">
        <f>"1986-12-03"</f>
        <v>1986-12-03</v>
      </c>
    </row>
    <row r="648" spans="1:4" ht="15.75" customHeight="1" x14ac:dyDescent="0.2">
      <c r="A648" s="2" t="s">
        <v>5</v>
      </c>
      <c r="B648" s="2" t="str">
        <f>"伍洋"</f>
        <v>伍洋</v>
      </c>
      <c r="C648" s="2" t="str">
        <f>"女"</f>
        <v>女</v>
      </c>
      <c r="D648" s="2" t="str">
        <f>"1995-02-27"</f>
        <v>1995-02-27</v>
      </c>
    </row>
    <row r="649" spans="1:4" ht="15.75" customHeight="1" x14ac:dyDescent="0.2">
      <c r="A649" s="2" t="s">
        <v>44</v>
      </c>
      <c r="B649" s="2" t="str">
        <f>"杨妮琼"</f>
        <v>杨妮琼</v>
      </c>
      <c r="C649" s="2" t="str">
        <f>"女"</f>
        <v>女</v>
      </c>
      <c r="D649" s="2" t="str">
        <f>"1995-07-28"</f>
        <v>1995-07-28</v>
      </c>
    </row>
    <row r="650" spans="1:4" ht="15.75" customHeight="1" x14ac:dyDescent="0.2">
      <c r="A650" s="2" t="s">
        <v>30</v>
      </c>
      <c r="B650" s="2" t="str">
        <f>"万钊夷"</f>
        <v>万钊夷</v>
      </c>
      <c r="C650" s="2" t="str">
        <f>"女"</f>
        <v>女</v>
      </c>
      <c r="D650" s="2" t="str">
        <f>"1987-02-21"</f>
        <v>1987-02-21</v>
      </c>
    </row>
    <row r="651" spans="1:4" ht="15.75" customHeight="1" x14ac:dyDescent="0.2">
      <c r="A651" s="2" t="s">
        <v>36</v>
      </c>
      <c r="B651" s="2" t="str">
        <f>"唐伟东"</f>
        <v>唐伟东</v>
      </c>
      <c r="C651" s="2" t="str">
        <f>"男"</f>
        <v>男</v>
      </c>
      <c r="D651" s="2" t="str">
        <f>"1995-05-19"</f>
        <v>1995-05-19</v>
      </c>
    </row>
    <row r="652" spans="1:4" ht="15.75" customHeight="1" x14ac:dyDescent="0.2">
      <c r="A652" s="2" t="s">
        <v>30</v>
      </c>
      <c r="B652" s="2" t="str">
        <f>"张紫鹏"</f>
        <v>张紫鹏</v>
      </c>
      <c r="C652" s="2" t="str">
        <f>"男"</f>
        <v>男</v>
      </c>
      <c r="D652" s="2" t="str">
        <f>"1992-07-24"</f>
        <v>1992-07-24</v>
      </c>
    </row>
    <row r="653" spans="1:4" ht="15.75" customHeight="1" x14ac:dyDescent="0.2">
      <c r="A653" s="2" t="s">
        <v>65</v>
      </c>
      <c r="B653" s="2" t="str">
        <f>"杨帮林"</f>
        <v>杨帮林</v>
      </c>
      <c r="C653" s="2" t="str">
        <f>"男"</f>
        <v>男</v>
      </c>
      <c r="D653" s="2" t="str">
        <f>"1989-01-15"</f>
        <v>1989-01-15</v>
      </c>
    </row>
    <row r="654" spans="1:4" ht="15.75" customHeight="1" x14ac:dyDescent="0.2">
      <c r="A654" s="2" t="s">
        <v>8</v>
      </c>
      <c r="B654" s="2" t="str">
        <f>"唐婷"</f>
        <v>唐婷</v>
      </c>
      <c r="C654" s="2" t="str">
        <f>"女"</f>
        <v>女</v>
      </c>
      <c r="D654" s="2" t="str">
        <f>"1993-08-15"</f>
        <v>1993-08-15</v>
      </c>
    </row>
    <row r="655" spans="1:4" ht="15.75" customHeight="1" x14ac:dyDescent="0.2">
      <c r="A655" s="2" t="s">
        <v>29</v>
      </c>
      <c r="B655" s="2" t="str">
        <f>"刘琪"</f>
        <v>刘琪</v>
      </c>
      <c r="C655" s="2" t="str">
        <f>"女"</f>
        <v>女</v>
      </c>
      <c r="D655" s="2" t="str">
        <f>"1994-02-23"</f>
        <v>1994-02-23</v>
      </c>
    </row>
    <row r="656" spans="1:4" ht="15.75" customHeight="1" x14ac:dyDescent="0.2">
      <c r="A656" s="2" t="s">
        <v>28</v>
      </c>
      <c r="B656" s="2" t="str">
        <f>"李娟"</f>
        <v>李娟</v>
      </c>
      <c r="C656" s="2" t="str">
        <f>"女"</f>
        <v>女</v>
      </c>
      <c r="D656" s="2" t="str">
        <f>"1999-04-01"</f>
        <v>1999-04-01</v>
      </c>
    </row>
    <row r="657" spans="1:4" ht="15.75" customHeight="1" x14ac:dyDescent="0.2">
      <c r="A657" s="2" t="s">
        <v>29</v>
      </c>
      <c r="B657" s="2" t="str">
        <f>"邓良胜"</f>
        <v>邓良胜</v>
      </c>
      <c r="C657" s="2" t="str">
        <f>"男"</f>
        <v>男</v>
      </c>
      <c r="D657" s="2" t="str">
        <f>"1992-09-12"</f>
        <v>1992-09-12</v>
      </c>
    </row>
    <row r="658" spans="1:4" ht="15.75" customHeight="1" x14ac:dyDescent="0.2">
      <c r="A658" s="2" t="s">
        <v>73</v>
      </c>
      <c r="B658" s="2" t="str">
        <f>"李腾飞"</f>
        <v>李腾飞</v>
      </c>
      <c r="C658" s="2" t="str">
        <f>"男"</f>
        <v>男</v>
      </c>
      <c r="D658" s="2" t="str">
        <f>"1989-01-29"</f>
        <v>1989-01-29</v>
      </c>
    </row>
    <row r="659" spans="1:4" ht="15.75" customHeight="1" x14ac:dyDescent="0.2">
      <c r="A659" s="2" t="s">
        <v>36</v>
      </c>
      <c r="B659" s="2" t="str">
        <f>"黄媛圆"</f>
        <v>黄媛圆</v>
      </c>
      <c r="C659" s="2" t="str">
        <f>"女"</f>
        <v>女</v>
      </c>
      <c r="D659" s="2" t="str">
        <f>"1996-03-01"</f>
        <v>1996-03-01</v>
      </c>
    </row>
    <row r="660" spans="1:4" ht="15.75" customHeight="1" x14ac:dyDescent="0.2">
      <c r="A660" s="2" t="s">
        <v>55</v>
      </c>
      <c r="B660" s="2" t="str">
        <f>"刘景林"</f>
        <v>刘景林</v>
      </c>
      <c r="C660" s="2" t="str">
        <f>"女"</f>
        <v>女</v>
      </c>
      <c r="D660" s="2" t="str">
        <f>"1999-03-24"</f>
        <v>1999-03-24</v>
      </c>
    </row>
    <row r="661" spans="1:4" ht="15.75" customHeight="1" x14ac:dyDescent="0.2">
      <c r="A661" s="2" t="s">
        <v>49</v>
      </c>
      <c r="B661" s="2" t="str">
        <f>"王霖"</f>
        <v>王霖</v>
      </c>
      <c r="C661" s="2" t="str">
        <f>"男"</f>
        <v>男</v>
      </c>
      <c r="D661" s="2" t="str">
        <f>"1990-10-28"</f>
        <v>1990-10-28</v>
      </c>
    </row>
    <row r="662" spans="1:4" ht="15.75" customHeight="1" x14ac:dyDescent="0.2">
      <c r="A662" s="2" t="s">
        <v>29</v>
      </c>
      <c r="B662" s="2" t="str">
        <f>"聂乐斌"</f>
        <v>聂乐斌</v>
      </c>
      <c r="C662" s="2" t="str">
        <f>"男"</f>
        <v>男</v>
      </c>
      <c r="D662" s="2" t="str">
        <f>"1992-05-30"</f>
        <v>1992-05-30</v>
      </c>
    </row>
    <row r="663" spans="1:4" ht="15.75" customHeight="1" x14ac:dyDescent="0.2">
      <c r="A663" s="2" t="s">
        <v>54</v>
      </c>
      <c r="B663" s="2" t="str">
        <f>"张煜"</f>
        <v>张煜</v>
      </c>
      <c r="C663" s="2" t="str">
        <f>"男"</f>
        <v>男</v>
      </c>
      <c r="D663" s="2" t="str">
        <f>"1997-03-16"</f>
        <v>1997-03-16</v>
      </c>
    </row>
    <row r="664" spans="1:4" ht="15.75" customHeight="1" x14ac:dyDescent="0.2">
      <c r="A664" s="2" t="s">
        <v>25</v>
      </c>
      <c r="B664" s="2" t="str">
        <f>"易洋民"</f>
        <v>易洋民</v>
      </c>
      <c r="C664" s="2" t="str">
        <f>"男"</f>
        <v>男</v>
      </c>
      <c r="D664" s="2" t="str">
        <f>"1990-04-23"</f>
        <v>1990-04-23</v>
      </c>
    </row>
    <row r="665" spans="1:4" ht="15.75" customHeight="1" x14ac:dyDescent="0.2">
      <c r="A665" s="2" t="s">
        <v>54</v>
      </c>
      <c r="B665" s="2" t="str">
        <f>"蹇操"</f>
        <v>蹇操</v>
      </c>
      <c r="C665" s="2" t="str">
        <f>"男"</f>
        <v>男</v>
      </c>
      <c r="D665" s="2" t="str">
        <f>"1994-07-03"</f>
        <v>1994-07-03</v>
      </c>
    </row>
    <row r="666" spans="1:4" ht="15.75" customHeight="1" x14ac:dyDescent="0.2">
      <c r="A666" s="2" t="s">
        <v>58</v>
      </c>
      <c r="B666" s="2" t="str">
        <f>"何利方"</f>
        <v>何利方</v>
      </c>
      <c r="C666" s="2" t="str">
        <f>"女"</f>
        <v>女</v>
      </c>
      <c r="D666" s="2" t="str">
        <f>"1989-02-23"</f>
        <v>1989-02-23</v>
      </c>
    </row>
    <row r="667" spans="1:4" ht="15.75" customHeight="1" x14ac:dyDescent="0.2">
      <c r="A667" s="2" t="s">
        <v>42</v>
      </c>
      <c r="B667" s="2" t="str">
        <f>"邓金花"</f>
        <v>邓金花</v>
      </c>
      <c r="C667" s="2" t="str">
        <f>"女"</f>
        <v>女</v>
      </c>
      <c r="D667" s="2" t="str">
        <f>"1987-09-18"</f>
        <v>1987-09-18</v>
      </c>
    </row>
    <row r="668" spans="1:4" ht="15.75" customHeight="1" x14ac:dyDescent="0.2">
      <c r="A668" s="2" t="s">
        <v>40</v>
      </c>
      <c r="B668" s="2" t="str">
        <f>"朱琳"</f>
        <v>朱琳</v>
      </c>
      <c r="C668" s="2" t="str">
        <f>"女"</f>
        <v>女</v>
      </c>
      <c r="D668" s="2" t="str">
        <f>"1998-01-27"</f>
        <v>1998-01-27</v>
      </c>
    </row>
    <row r="669" spans="1:4" ht="15.75" customHeight="1" x14ac:dyDescent="0.2">
      <c r="A669" s="2" t="s">
        <v>55</v>
      </c>
      <c r="B669" s="2" t="str">
        <f>"刘杰"</f>
        <v>刘杰</v>
      </c>
      <c r="C669" s="2" t="str">
        <f>"男"</f>
        <v>男</v>
      </c>
      <c r="D669" s="2" t="str">
        <f>"1997-07-22"</f>
        <v>1997-07-22</v>
      </c>
    </row>
    <row r="670" spans="1:4" ht="15.75" customHeight="1" x14ac:dyDescent="0.2">
      <c r="A670" s="2" t="s">
        <v>30</v>
      </c>
      <c r="B670" s="2" t="str">
        <f>"何宏伟"</f>
        <v>何宏伟</v>
      </c>
      <c r="C670" s="2" t="str">
        <f>"男"</f>
        <v>男</v>
      </c>
      <c r="D670" s="2" t="str">
        <f>"1995-11-16"</f>
        <v>1995-11-16</v>
      </c>
    </row>
    <row r="671" spans="1:4" ht="15.75" customHeight="1" x14ac:dyDescent="0.2">
      <c r="A671" s="2" t="s">
        <v>26</v>
      </c>
      <c r="B671" s="2" t="str">
        <f>"蒋千"</f>
        <v>蒋千</v>
      </c>
      <c r="C671" s="2" t="str">
        <f>"女"</f>
        <v>女</v>
      </c>
      <c r="D671" s="2" t="str">
        <f>"1990-01-09"</f>
        <v>1990-01-09</v>
      </c>
    </row>
    <row r="672" spans="1:4" ht="15.75" customHeight="1" x14ac:dyDescent="0.2">
      <c r="A672" s="2" t="s">
        <v>14</v>
      </c>
      <c r="B672" s="2" t="str">
        <f>"刘科汝"</f>
        <v>刘科汝</v>
      </c>
      <c r="C672" s="2" t="str">
        <f>"男"</f>
        <v>男</v>
      </c>
      <c r="D672" s="2" t="str">
        <f>"1996-06-08"</f>
        <v>1996-06-08</v>
      </c>
    </row>
    <row r="673" spans="1:4" ht="15.75" customHeight="1" x14ac:dyDescent="0.2">
      <c r="A673" s="2" t="s">
        <v>14</v>
      </c>
      <c r="B673" s="2" t="str">
        <f>"雷凌燚"</f>
        <v>雷凌燚</v>
      </c>
      <c r="C673" s="2" t="str">
        <f>"男"</f>
        <v>男</v>
      </c>
      <c r="D673" s="2" t="str">
        <f>"1999-08-20"</f>
        <v>1999-08-20</v>
      </c>
    </row>
    <row r="674" spans="1:4" ht="15.75" customHeight="1" x14ac:dyDescent="0.2">
      <c r="A674" s="2" t="s">
        <v>7</v>
      </c>
      <c r="B674" s="2" t="str">
        <f>"许峻"</f>
        <v>许峻</v>
      </c>
      <c r="C674" s="2" t="str">
        <f>"男"</f>
        <v>男</v>
      </c>
      <c r="D674" s="2" t="str">
        <f>"1994-04-10"</f>
        <v>1994-04-10</v>
      </c>
    </row>
    <row r="675" spans="1:4" ht="15.75" customHeight="1" x14ac:dyDescent="0.2">
      <c r="A675" s="2" t="s">
        <v>44</v>
      </c>
      <c r="B675" s="2" t="str">
        <f>"唐广菊"</f>
        <v>唐广菊</v>
      </c>
      <c r="C675" s="2" t="str">
        <f t="shared" ref="C675:C682" si="13">"女"</f>
        <v>女</v>
      </c>
      <c r="D675" s="2" t="str">
        <f>"1991-01-07"</f>
        <v>1991-01-07</v>
      </c>
    </row>
    <row r="676" spans="1:4" ht="15.75" customHeight="1" x14ac:dyDescent="0.2">
      <c r="A676" s="2" t="s">
        <v>40</v>
      </c>
      <c r="B676" s="2" t="str">
        <f>"胡凌云"</f>
        <v>胡凌云</v>
      </c>
      <c r="C676" s="2" t="str">
        <f t="shared" si="13"/>
        <v>女</v>
      </c>
      <c r="D676" s="2" t="str">
        <f>"1996-02-10"</f>
        <v>1996-02-10</v>
      </c>
    </row>
    <row r="677" spans="1:4" ht="15.75" customHeight="1" x14ac:dyDescent="0.2">
      <c r="A677" s="2" t="s">
        <v>36</v>
      </c>
      <c r="B677" s="2" t="str">
        <f>"肖雨鑫"</f>
        <v>肖雨鑫</v>
      </c>
      <c r="C677" s="2" t="str">
        <f t="shared" si="13"/>
        <v>女</v>
      </c>
      <c r="D677" s="2" t="str">
        <f>"1999-11-03"</f>
        <v>1999-11-03</v>
      </c>
    </row>
    <row r="678" spans="1:4" ht="15.75" customHeight="1" x14ac:dyDescent="0.2">
      <c r="A678" s="2" t="s">
        <v>27</v>
      </c>
      <c r="B678" s="2" t="str">
        <f>"钟敏"</f>
        <v>钟敏</v>
      </c>
      <c r="C678" s="2" t="str">
        <f t="shared" si="13"/>
        <v>女</v>
      </c>
      <c r="D678" s="2" t="str">
        <f>"1998-07-05"</f>
        <v>1998-07-05</v>
      </c>
    </row>
    <row r="679" spans="1:4" ht="15.75" customHeight="1" x14ac:dyDescent="0.2">
      <c r="A679" s="2" t="s">
        <v>50</v>
      </c>
      <c r="B679" s="2" t="str">
        <f>"金晨"</f>
        <v>金晨</v>
      </c>
      <c r="C679" s="2" t="str">
        <f t="shared" si="13"/>
        <v>女</v>
      </c>
      <c r="D679" s="2" t="str">
        <f>"1997-10-03"</f>
        <v>1997-10-03</v>
      </c>
    </row>
    <row r="680" spans="1:4" ht="15.75" customHeight="1" x14ac:dyDescent="0.2">
      <c r="A680" s="2" t="s">
        <v>36</v>
      </c>
      <c r="B680" s="2" t="str">
        <f>"舒冰"</f>
        <v>舒冰</v>
      </c>
      <c r="C680" s="2" t="str">
        <f t="shared" si="13"/>
        <v>女</v>
      </c>
      <c r="D680" s="2" t="str">
        <f>"1999-06-08"</f>
        <v>1999-06-08</v>
      </c>
    </row>
    <row r="681" spans="1:4" ht="15.75" customHeight="1" x14ac:dyDescent="0.2">
      <c r="A681" s="2" t="s">
        <v>14</v>
      </c>
      <c r="B681" s="2" t="str">
        <f>"肖雨晖"</f>
        <v>肖雨晖</v>
      </c>
      <c r="C681" s="2" t="str">
        <f t="shared" si="13"/>
        <v>女</v>
      </c>
      <c r="D681" s="2" t="str">
        <f>"1997-02-19"</f>
        <v>1997-02-19</v>
      </c>
    </row>
    <row r="682" spans="1:4" ht="15.75" customHeight="1" x14ac:dyDescent="0.2">
      <c r="A682" s="2" t="s">
        <v>43</v>
      </c>
      <c r="B682" s="2" t="str">
        <f>"罗依依"</f>
        <v>罗依依</v>
      </c>
      <c r="C682" s="2" t="str">
        <f t="shared" si="13"/>
        <v>女</v>
      </c>
      <c r="D682" s="2" t="str">
        <f>"1993-03-22"</f>
        <v>1993-03-22</v>
      </c>
    </row>
    <row r="683" spans="1:4" ht="15.75" customHeight="1" x14ac:dyDescent="0.2">
      <c r="A683" s="2" t="s">
        <v>8</v>
      </c>
      <c r="B683" s="2" t="str">
        <f>"杨超"</f>
        <v>杨超</v>
      </c>
      <c r="C683" s="2" t="str">
        <f>"男"</f>
        <v>男</v>
      </c>
      <c r="D683" s="2" t="str">
        <f>"1993-06-16"</f>
        <v>1993-06-16</v>
      </c>
    </row>
    <row r="684" spans="1:4" ht="15.75" customHeight="1" x14ac:dyDescent="0.2">
      <c r="A684" s="2" t="s">
        <v>13</v>
      </c>
      <c r="B684" s="2" t="str">
        <f>"肖靖彦"</f>
        <v>肖靖彦</v>
      </c>
      <c r="C684" s="2" t="str">
        <f>"男"</f>
        <v>男</v>
      </c>
      <c r="D684" s="2" t="str">
        <f>"1987-08-05"</f>
        <v>1987-08-05</v>
      </c>
    </row>
    <row r="685" spans="1:4" ht="15.75" customHeight="1" x14ac:dyDescent="0.2">
      <c r="A685" s="2" t="s">
        <v>14</v>
      </c>
      <c r="B685" s="2" t="str">
        <f>"宋彦"</f>
        <v>宋彦</v>
      </c>
      <c r="C685" s="2" t="str">
        <f>"女"</f>
        <v>女</v>
      </c>
      <c r="D685" s="2" t="str">
        <f>"2000-10-24"</f>
        <v>2000-10-24</v>
      </c>
    </row>
    <row r="686" spans="1:4" ht="15.75" customHeight="1" x14ac:dyDescent="0.2">
      <c r="A686" s="2" t="s">
        <v>31</v>
      </c>
      <c r="B686" s="2" t="str">
        <f>"丁鹏"</f>
        <v>丁鹏</v>
      </c>
      <c r="C686" s="2" t="str">
        <f>"男"</f>
        <v>男</v>
      </c>
      <c r="D686" s="2" t="str">
        <f>"1999-11-22"</f>
        <v>1999-11-22</v>
      </c>
    </row>
    <row r="687" spans="1:4" ht="15.75" customHeight="1" x14ac:dyDescent="0.2">
      <c r="A687" s="2" t="s">
        <v>31</v>
      </c>
      <c r="B687" s="2" t="str">
        <f>"胡媛月"</f>
        <v>胡媛月</v>
      </c>
      <c r="C687" s="2" t="str">
        <f>"女"</f>
        <v>女</v>
      </c>
      <c r="D687" s="2" t="str">
        <f>"1994-12-04"</f>
        <v>1994-12-04</v>
      </c>
    </row>
    <row r="688" spans="1:4" ht="15.75" customHeight="1" x14ac:dyDescent="0.2">
      <c r="A688" s="2" t="s">
        <v>14</v>
      </c>
      <c r="B688" s="2" t="str">
        <f>"李明"</f>
        <v>李明</v>
      </c>
      <c r="C688" s="2" t="str">
        <f>"男"</f>
        <v>男</v>
      </c>
      <c r="D688" s="2" t="str">
        <f>"1998-06-27"</f>
        <v>1998-06-27</v>
      </c>
    </row>
    <row r="689" spans="1:4" ht="15.75" customHeight="1" x14ac:dyDescent="0.2">
      <c r="A689" s="2" t="s">
        <v>49</v>
      </c>
      <c r="B689" s="2" t="str">
        <f>"曾聪"</f>
        <v>曾聪</v>
      </c>
      <c r="C689" s="2" t="str">
        <f>"男"</f>
        <v>男</v>
      </c>
      <c r="D689" s="2" t="str">
        <f>"1991-12-24"</f>
        <v>1991-12-24</v>
      </c>
    </row>
    <row r="690" spans="1:4" ht="15.75" customHeight="1" x14ac:dyDescent="0.2">
      <c r="A690" s="2" t="s">
        <v>56</v>
      </c>
      <c r="B690" s="2" t="str">
        <f>"汪倩"</f>
        <v>汪倩</v>
      </c>
      <c r="C690" s="2" t="str">
        <f>"女"</f>
        <v>女</v>
      </c>
      <c r="D690" s="2" t="str">
        <f>"1993-10-07"</f>
        <v>1993-10-07</v>
      </c>
    </row>
    <row r="691" spans="1:4" ht="15.75" customHeight="1" x14ac:dyDescent="0.2">
      <c r="A691" s="2" t="s">
        <v>61</v>
      </c>
      <c r="B691" s="2" t="str">
        <f>"吴凡"</f>
        <v>吴凡</v>
      </c>
      <c r="C691" s="2" t="str">
        <f>"女"</f>
        <v>女</v>
      </c>
      <c r="D691" s="2" t="str">
        <f>"1998-02-01"</f>
        <v>1998-02-01</v>
      </c>
    </row>
    <row r="692" spans="1:4" ht="15.75" customHeight="1" x14ac:dyDescent="0.2">
      <c r="A692" s="2" t="s">
        <v>5</v>
      </c>
      <c r="B692" s="2" t="str">
        <f>"黄秀娟"</f>
        <v>黄秀娟</v>
      </c>
      <c r="C692" s="2" t="str">
        <f>"女"</f>
        <v>女</v>
      </c>
      <c r="D692" s="2" t="str">
        <f>"1997-04-11"</f>
        <v>1997-04-11</v>
      </c>
    </row>
    <row r="693" spans="1:4" ht="15.75" customHeight="1" x14ac:dyDescent="0.2">
      <c r="A693" s="2" t="s">
        <v>36</v>
      </c>
      <c r="B693" s="2" t="str">
        <f>"顾忠政"</f>
        <v>顾忠政</v>
      </c>
      <c r="C693" s="2" t="str">
        <f>"女"</f>
        <v>女</v>
      </c>
      <c r="D693" s="2" t="str">
        <f>"1995-08-15"</f>
        <v>1995-08-15</v>
      </c>
    </row>
    <row r="694" spans="1:4" ht="15.75" customHeight="1" x14ac:dyDescent="0.2">
      <c r="A694" s="2" t="s">
        <v>40</v>
      </c>
      <c r="B694" s="2" t="str">
        <f>"钱坤"</f>
        <v>钱坤</v>
      </c>
      <c r="C694" s="2" t="str">
        <f>"男"</f>
        <v>男</v>
      </c>
      <c r="D694" s="2" t="str">
        <f>"1997-01-06"</f>
        <v>1997-01-06</v>
      </c>
    </row>
    <row r="695" spans="1:4" ht="15.75" customHeight="1" x14ac:dyDescent="0.2">
      <c r="A695" s="2" t="s">
        <v>41</v>
      </c>
      <c r="B695" s="2" t="str">
        <f>"杨新瑞"</f>
        <v>杨新瑞</v>
      </c>
      <c r="C695" s="2" t="str">
        <f>"女"</f>
        <v>女</v>
      </c>
      <c r="D695" s="2" t="str">
        <f>"1996-10-04"</f>
        <v>1996-10-04</v>
      </c>
    </row>
    <row r="696" spans="1:4" ht="15.75" customHeight="1" x14ac:dyDescent="0.2">
      <c r="A696" s="2" t="s">
        <v>50</v>
      </c>
      <c r="B696" s="2" t="str">
        <f>"莫锐"</f>
        <v>莫锐</v>
      </c>
      <c r="C696" s="2" t="str">
        <f>"女"</f>
        <v>女</v>
      </c>
      <c r="D696" s="2" t="str">
        <f>"1998-01-04"</f>
        <v>1998-01-04</v>
      </c>
    </row>
    <row r="697" spans="1:4" ht="15.75" customHeight="1" x14ac:dyDescent="0.2">
      <c r="A697" s="2" t="s">
        <v>9</v>
      </c>
      <c r="B697" s="2" t="str">
        <f>"李光耀"</f>
        <v>李光耀</v>
      </c>
      <c r="C697" s="2" t="str">
        <f>"男"</f>
        <v>男</v>
      </c>
      <c r="D697" s="2" t="str">
        <f>"1995-09-12"</f>
        <v>1995-09-12</v>
      </c>
    </row>
    <row r="698" spans="1:4" ht="15.75" customHeight="1" x14ac:dyDescent="0.2">
      <c r="A698" s="2" t="s">
        <v>70</v>
      </c>
      <c r="B698" s="2" t="str">
        <f>"毛小妹"</f>
        <v>毛小妹</v>
      </c>
      <c r="C698" s="2" t="str">
        <f>"女"</f>
        <v>女</v>
      </c>
      <c r="D698" s="2" t="str">
        <f>"1988-04-07"</f>
        <v>1988-04-07</v>
      </c>
    </row>
    <row r="699" spans="1:4" ht="15.75" customHeight="1" x14ac:dyDescent="0.2">
      <c r="A699" s="2" t="s">
        <v>14</v>
      </c>
      <c r="B699" s="2" t="str">
        <f>"刘峻诚"</f>
        <v>刘峻诚</v>
      </c>
      <c r="C699" s="2" t="str">
        <f>"男"</f>
        <v>男</v>
      </c>
      <c r="D699" s="2" t="str">
        <f>"1995-10-18"</f>
        <v>1995-10-18</v>
      </c>
    </row>
    <row r="700" spans="1:4" ht="15.75" customHeight="1" x14ac:dyDescent="0.2">
      <c r="A700" s="2" t="s">
        <v>42</v>
      </c>
      <c r="B700" s="2" t="str">
        <f>"关俊"</f>
        <v>关俊</v>
      </c>
      <c r="C700" s="2" t="str">
        <f>"男"</f>
        <v>男</v>
      </c>
      <c r="D700" s="2" t="str">
        <f>"1989-08-14"</f>
        <v>1989-08-14</v>
      </c>
    </row>
    <row r="701" spans="1:4" ht="15.75" customHeight="1" x14ac:dyDescent="0.2">
      <c r="A701" s="2" t="s">
        <v>71</v>
      </c>
      <c r="B701" s="2" t="str">
        <f>"刘杏"</f>
        <v>刘杏</v>
      </c>
      <c r="C701" s="2" t="str">
        <f>"女"</f>
        <v>女</v>
      </c>
      <c r="D701" s="2" t="str">
        <f>"1998-06-08"</f>
        <v>1998-06-08</v>
      </c>
    </row>
    <row r="702" spans="1:4" ht="15.75" customHeight="1" x14ac:dyDescent="0.2">
      <c r="A702" s="2" t="s">
        <v>63</v>
      </c>
      <c r="B702" s="2" t="str">
        <f>"欧阳宁俊"</f>
        <v>欧阳宁俊</v>
      </c>
      <c r="C702" s="2" t="str">
        <f>"男"</f>
        <v>男</v>
      </c>
      <c r="D702" s="2" t="str">
        <f>"1994-11-12"</f>
        <v>1994-11-12</v>
      </c>
    </row>
    <row r="703" spans="1:4" ht="15.75" customHeight="1" x14ac:dyDescent="0.2">
      <c r="A703" s="2" t="s">
        <v>26</v>
      </c>
      <c r="B703" s="2" t="str">
        <f>"杜月平"</f>
        <v>杜月平</v>
      </c>
      <c r="C703" s="2" t="str">
        <f>"女"</f>
        <v>女</v>
      </c>
      <c r="D703" s="2" t="str">
        <f>"1997-04-05"</f>
        <v>1997-04-05</v>
      </c>
    </row>
    <row r="704" spans="1:4" ht="15.75" customHeight="1" x14ac:dyDescent="0.2">
      <c r="A704" s="2" t="s">
        <v>36</v>
      </c>
      <c r="B704" s="2" t="str">
        <f>"黄雨婷"</f>
        <v>黄雨婷</v>
      </c>
      <c r="C704" s="2" t="str">
        <f>"女"</f>
        <v>女</v>
      </c>
      <c r="D704" s="2" t="str">
        <f>"1999-06-27"</f>
        <v>1999-06-27</v>
      </c>
    </row>
    <row r="705" spans="1:4" ht="15.75" customHeight="1" x14ac:dyDescent="0.2">
      <c r="A705" s="2" t="s">
        <v>19</v>
      </c>
      <c r="B705" s="2" t="str">
        <f>"向国露"</f>
        <v>向国露</v>
      </c>
      <c r="C705" s="2" t="str">
        <f>"男"</f>
        <v>男</v>
      </c>
      <c r="D705" s="2" t="str">
        <f>"1995-06-13"</f>
        <v>1995-06-13</v>
      </c>
    </row>
    <row r="706" spans="1:4" ht="15.75" customHeight="1" x14ac:dyDescent="0.2">
      <c r="A706" s="2" t="s">
        <v>28</v>
      </c>
      <c r="B706" s="2" t="str">
        <f>"张牟婷"</f>
        <v>张牟婷</v>
      </c>
      <c r="C706" s="2" t="str">
        <f>"女"</f>
        <v>女</v>
      </c>
      <c r="D706" s="2" t="str">
        <f>"1997-09-01"</f>
        <v>1997-09-01</v>
      </c>
    </row>
    <row r="707" spans="1:4" ht="15.75" customHeight="1" x14ac:dyDescent="0.2">
      <c r="A707" s="2" t="s">
        <v>15</v>
      </c>
      <c r="B707" s="2" t="str">
        <f>"朱红丹"</f>
        <v>朱红丹</v>
      </c>
      <c r="C707" s="2" t="str">
        <f>"女"</f>
        <v>女</v>
      </c>
      <c r="D707" s="2" t="str">
        <f>"1999-07-20"</f>
        <v>1999-07-20</v>
      </c>
    </row>
    <row r="708" spans="1:4" ht="15.75" customHeight="1" x14ac:dyDescent="0.2">
      <c r="A708" s="2" t="s">
        <v>26</v>
      </c>
      <c r="B708" s="2" t="str">
        <f>"胡凤仪"</f>
        <v>胡凤仪</v>
      </c>
      <c r="C708" s="2" t="str">
        <f>"女"</f>
        <v>女</v>
      </c>
      <c r="D708" s="2" t="str">
        <f>"2000-02-22"</f>
        <v>2000-02-22</v>
      </c>
    </row>
    <row r="709" spans="1:4" ht="15.75" customHeight="1" x14ac:dyDescent="0.2">
      <c r="A709" s="2" t="s">
        <v>50</v>
      </c>
      <c r="B709" s="2" t="str">
        <f>"吕中建"</f>
        <v>吕中建</v>
      </c>
      <c r="C709" s="2" t="str">
        <f>"男"</f>
        <v>男</v>
      </c>
      <c r="D709" s="2" t="str">
        <f>"1995-07-06"</f>
        <v>1995-07-06</v>
      </c>
    </row>
    <row r="710" spans="1:4" ht="15.75" customHeight="1" x14ac:dyDescent="0.2">
      <c r="A710" s="2" t="s">
        <v>17</v>
      </c>
      <c r="B710" s="2" t="str">
        <f>"李炳佳"</f>
        <v>李炳佳</v>
      </c>
      <c r="C710" s="2" t="str">
        <f>"男"</f>
        <v>男</v>
      </c>
      <c r="D710" s="2" t="str">
        <f>"1990-05-25"</f>
        <v>1990-05-25</v>
      </c>
    </row>
    <row r="711" spans="1:4" ht="15.75" customHeight="1" x14ac:dyDescent="0.2">
      <c r="A711" s="2" t="s">
        <v>8</v>
      </c>
      <c r="B711" s="2" t="str">
        <f>"雷金良"</f>
        <v>雷金良</v>
      </c>
      <c r="C711" s="2" t="str">
        <f>"男"</f>
        <v>男</v>
      </c>
      <c r="D711" s="2" t="str">
        <f>"1994-10-01"</f>
        <v>1994-10-01</v>
      </c>
    </row>
    <row r="712" spans="1:4" ht="15.75" customHeight="1" x14ac:dyDescent="0.2">
      <c r="A712" s="2" t="s">
        <v>13</v>
      </c>
      <c r="B712" s="2" t="str">
        <f>"鲁伟"</f>
        <v>鲁伟</v>
      </c>
      <c r="C712" s="2" t="str">
        <f>"男"</f>
        <v>男</v>
      </c>
      <c r="D712" s="2" t="str">
        <f>"1987-08-01"</f>
        <v>1987-08-01</v>
      </c>
    </row>
    <row r="713" spans="1:4" ht="15.75" customHeight="1" x14ac:dyDescent="0.2">
      <c r="A713" s="2" t="s">
        <v>8</v>
      </c>
      <c r="B713" s="2" t="str">
        <f>"郭强"</f>
        <v>郭强</v>
      </c>
      <c r="C713" s="2" t="str">
        <f>"男"</f>
        <v>男</v>
      </c>
      <c r="D713" s="2" t="str">
        <f>"1990-01-16"</f>
        <v>1990-01-16</v>
      </c>
    </row>
    <row r="714" spans="1:4" ht="15.75" customHeight="1" x14ac:dyDescent="0.2">
      <c r="A714" s="2" t="s">
        <v>58</v>
      </c>
      <c r="B714" s="2" t="str">
        <f>"傅金蝶"</f>
        <v>傅金蝶</v>
      </c>
      <c r="C714" s="2" t="str">
        <f>"女"</f>
        <v>女</v>
      </c>
      <c r="D714" s="2" t="str">
        <f>"1992-12-27"</f>
        <v>1992-12-27</v>
      </c>
    </row>
    <row r="715" spans="1:4" ht="15.75" customHeight="1" x14ac:dyDescent="0.2">
      <c r="A715" s="2" t="s">
        <v>47</v>
      </c>
      <c r="B715" s="2" t="str">
        <f>"白臻"</f>
        <v>白臻</v>
      </c>
      <c r="C715" s="2" t="str">
        <f>"男"</f>
        <v>男</v>
      </c>
      <c r="D715" s="2" t="str">
        <f>"1996-09-10"</f>
        <v>1996-09-10</v>
      </c>
    </row>
    <row r="716" spans="1:4" ht="15.75" customHeight="1" x14ac:dyDescent="0.2">
      <c r="A716" s="2" t="s">
        <v>13</v>
      </c>
      <c r="B716" s="2" t="str">
        <f>"王凡"</f>
        <v>王凡</v>
      </c>
      <c r="C716" s="2" t="str">
        <f>"男"</f>
        <v>男</v>
      </c>
      <c r="D716" s="2" t="str">
        <f>"1993-04-19"</f>
        <v>1993-04-19</v>
      </c>
    </row>
    <row r="717" spans="1:4" ht="15.75" customHeight="1" x14ac:dyDescent="0.2">
      <c r="A717" s="2" t="s">
        <v>24</v>
      </c>
      <c r="B717" s="2" t="str">
        <f>"欧胜"</f>
        <v>欧胜</v>
      </c>
      <c r="C717" s="2" t="str">
        <f>"男"</f>
        <v>男</v>
      </c>
      <c r="D717" s="2" t="str">
        <f>"1990-08-10"</f>
        <v>1990-08-10</v>
      </c>
    </row>
    <row r="718" spans="1:4" ht="15.75" customHeight="1" x14ac:dyDescent="0.2">
      <c r="A718" s="2" t="s">
        <v>40</v>
      </c>
      <c r="B718" s="2" t="str">
        <f>"徐梦笛"</f>
        <v>徐梦笛</v>
      </c>
      <c r="C718" s="2" t="str">
        <f>"女"</f>
        <v>女</v>
      </c>
      <c r="D718" s="2" t="str">
        <f>"1997-06-15"</f>
        <v>1997-06-15</v>
      </c>
    </row>
    <row r="719" spans="1:4" ht="15.75" customHeight="1" x14ac:dyDescent="0.2">
      <c r="A719" s="2" t="s">
        <v>28</v>
      </c>
      <c r="B719" s="2" t="str">
        <f>"卢荟"</f>
        <v>卢荟</v>
      </c>
      <c r="C719" s="2" t="str">
        <f>"女"</f>
        <v>女</v>
      </c>
      <c r="D719" s="2" t="str">
        <f>"1998-07-20"</f>
        <v>1998-07-20</v>
      </c>
    </row>
    <row r="720" spans="1:4" ht="15.75" customHeight="1" x14ac:dyDescent="0.2">
      <c r="A720" s="2" t="s">
        <v>52</v>
      </c>
      <c r="B720" s="2" t="str">
        <f>"朱明裔"</f>
        <v>朱明裔</v>
      </c>
      <c r="C720" s="2" t="str">
        <f>"男"</f>
        <v>男</v>
      </c>
      <c r="D720" s="2" t="str">
        <f>"1995-01-06"</f>
        <v>1995-01-06</v>
      </c>
    </row>
    <row r="721" spans="1:4" ht="15.75" customHeight="1" x14ac:dyDescent="0.2">
      <c r="A721" s="2" t="s">
        <v>60</v>
      </c>
      <c r="B721" s="2" t="str">
        <f>"田凯"</f>
        <v>田凯</v>
      </c>
      <c r="C721" s="2" t="str">
        <f>"男"</f>
        <v>男</v>
      </c>
      <c r="D721" s="2" t="str">
        <f>"1993-01-10"</f>
        <v>1993-01-10</v>
      </c>
    </row>
    <row r="722" spans="1:4" ht="15.75" customHeight="1" x14ac:dyDescent="0.2">
      <c r="A722" s="2" t="s">
        <v>34</v>
      </c>
      <c r="B722" s="2" t="str">
        <f>"黄康睿"</f>
        <v>黄康睿</v>
      </c>
      <c r="C722" s="2" t="str">
        <f>"男"</f>
        <v>男</v>
      </c>
      <c r="D722" s="2" t="str">
        <f>"1995-01-27"</f>
        <v>1995-01-27</v>
      </c>
    </row>
    <row r="723" spans="1:4" ht="15.75" customHeight="1" x14ac:dyDescent="0.2">
      <c r="A723" s="2" t="s">
        <v>9</v>
      </c>
      <c r="B723" s="2" t="str">
        <f>"游正文"</f>
        <v>游正文</v>
      </c>
      <c r="C723" s="2" t="str">
        <f>"男"</f>
        <v>男</v>
      </c>
      <c r="D723" s="2" t="str">
        <f>"1996-01-13"</f>
        <v>1996-01-13</v>
      </c>
    </row>
    <row r="724" spans="1:4" ht="15.75" customHeight="1" x14ac:dyDescent="0.2">
      <c r="A724" s="2" t="s">
        <v>24</v>
      </c>
      <c r="B724" s="2" t="str">
        <f>"曾凡明"</f>
        <v>曾凡明</v>
      </c>
      <c r="C724" s="2" t="str">
        <f>"女"</f>
        <v>女</v>
      </c>
      <c r="D724" s="2" t="str">
        <f>"1987-09-07"</f>
        <v>1987-09-07</v>
      </c>
    </row>
    <row r="725" spans="1:4" ht="15.75" customHeight="1" x14ac:dyDescent="0.2">
      <c r="A725" s="2" t="s">
        <v>14</v>
      </c>
      <c r="B725" s="2" t="str">
        <f>"姚卜荣"</f>
        <v>姚卜荣</v>
      </c>
      <c r="C725" s="2" t="str">
        <f>"女"</f>
        <v>女</v>
      </c>
      <c r="D725" s="2" t="str">
        <f>"1992-06-20"</f>
        <v>1992-06-20</v>
      </c>
    </row>
    <row r="726" spans="1:4" ht="15.75" customHeight="1" x14ac:dyDescent="0.2">
      <c r="A726" s="2" t="s">
        <v>28</v>
      </c>
      <c r="B726" s="2" t="str">
        <f>"杨帆"</f>
        <v>杨帆</v>
      </c>
      <c r="C726" s="2" t="str">
        <f>"女"</f>
        <v>女</v>
      </c>
      <c r="D726" s="2" t="str">
        <f>"1994-09-08"</f>
        <v>1994-09-08</v>
      </c>
    </row>
    <row r="727" spans="1:4" ht="15.75" customHeight="1" x14ac:dyDescent="0.2">
      <c r="A727" s="2" t="s">
        <v>41</v>
      </c>
      <c r="B727" s="2" t="str">
        <f>"杨琪琪"</f>
        <v>杨琪琪</v>
      </c>
      <c r="C727" s="2" t="str">
        <f>"女"</f>
        <v>女</v>
      </c>
      <c r="D727" s="2" t="str">
        <f>"1998-09-05"</f>
        <v>1998-09-05</v>
      </c>
    </row>
    <row r="728" spans="1:4" ht="15.75" customHeight="1" x14ac:dyDescent="0.2">
      <c r="A728" s="2" t="s">
        <v>67</v>
      </c>
      <c r="B728" s="2" t="str">
        <f>"喻君"</f>
        <v>喻君</v>
      </c>
      <c r="C728" s="2" t="str">
        <f>"女"</f>
        <v>女</v>
      </c>
      <c r="D728" s="2" t="str">
        <f>"1992-9-21"</f>
        <v>1992-9-21</v>
      </c>
    </row>
    <row r="729" spans="1:4" ht="15.75" customHeight="1" x14ac:dyDescent="0.2">
      <c r="A729" s="2" t="s">
        <v>46</v>
      </c>
      <c r="B729" s="2" t="str">
        <f>"唐自龙"</f>
        <v>唐自龙</v>
      </c>
      <c r="C729" s="2" t="str">
        <f>"男"</f>
        <v>男</v>
      </c>
      <c r="D729" s="2" t="str">
        <f>"1989-03-07"</f>
        <v>1989-03-07</v>
      </c>
    </row>
    <row r="730" spans="1:4" ht="15.75" customHeight="1" x14ac:dyDescent="0.2">
      <c r="A730" s="2" t="s">
        <v>14</v>
      </c>
      <c r="B730" s="2" t="str">
        <f>"张子豪"</f>
        <v>张子豪</v>
      </c>
      <c r="C730" s="2" t="str">
        <f>"男"</f>
        <v>男</v>
      </c>
      <c r="D730" s="2" t="str">
        <f>"1997-07-25"</f>
        <v>1997-07-25</v>
      </c>
    </row>
    <row r="731" spans="1:4" ht="15.75" customHeight="1" x14ac:dyDescent="0.2">
      <c r="A731" s="2" t="s">
        <v>8</v>
      </c>
      <c r="B731" s="2" t="str">
        <f>"袁果"</f>
        <v>袁果</v>
      </c>
      <c r="C731" s="2" t="str">
        <f>"男"</f>
        <v>男</v>
      </c>
      <c r="D731" s="2" t="str">
        <f>"1989-06-03"</f>
        <v>1989-06-03</v>
      </c>
    </row>
    <row r="732" spans="1:4" ht="15.75" customHeight="1" x14ac:dyDescent="0.2">
      <c r="A732" s="2" t="s">
        <v>71</v>
      </c>
      <c r="B732" s="2" t="str">
        <f>"王佳佳"</f>
        <v>王佳佳</v>
      </c>
      <c r="C732" s="2" t="str">
        <f>"女"</f>
        <v>女</v>
      </c>
      <c r="D732" s="2" t="str">
        <f>"2000-01-15"</f>
        <v>2000-01-15</v>
      </c>
    </row>
    <row r="733" spans="1:4" ht="15.75" customHeight="1" x14ac:dyDescent="0.2">
      <c r="A733" s="2" t="s">
        <v>8</v>
      </c>
      <c r="B733" s="2" t="str">
        <f>"方圆中"</f>
        <v>方圆中</v>
      </c>
      <c r="C733" s="2" t="str">
        <f>"男"</f>
        <v>男</v>
      </c>
      <c r="D733" s="2" t="str">
        <f>"1995-10-13"</f>
        <v>1995-10-13</v>
      </c>
    </row>
    <row r="734" spans="1:4" ht="15.75" customHeight="1" x14ac:dyDescent="0.2">
      <c r="A734" s="2" t="s">
        <v>40</v>
      </c>
      <c r="B734" s="2" t="str">
        <f>"李芷欣"</f>
        <v>李芷欣</v>
      </c>
      <c r="C734" s="2" t="str">
        <f>"女"</f>
        <v>女</v>
      </c>
      <c r="D734" s="2" t="str">
        <f>"1994-10-16"</f>
        <v>1994-10-16</v>
      </c>
    </row>
    <row r="735" spans="1:4" ht="15.75" customHeight="1" x14ac:dyDescent="0.2">
      <c r="A735" s="2" t="s">
        <v>54</v>
      </c>
      <c r="B735" s="2" t="str">
        <f>"任峻希"</f>
        <v>任峻希</v>
      </c>
      <c r="C735" s="2" t="str">
        <f>"男"</f>
        <v>男</v>
      </c>
      <c r="D735" s="2" t="str">
        <f>"1993-07-05"</f>
        <v>1993-07-05</v>
      </c>
    </row>
    <row r="736" spans="1:4" ht="15.75" customHeight="1" x14ac:dyDescent="0.2">
      <c r="A736" s="2" t="s">
        <v>27</v>
      </c>
      <c r="B736" s="2" t="str">
        <f>"蒋文化"</f>
        <v>蒋文化</v>
      </c>
      <c r="C736" s="2" t="str">
        <f>"男"</f>
        <v>男</v>
      </c>
      <c r="D736" s="2" t="str">
        <f>"1996-01-20"</f>
        <v>1996-01-20</v>
      </c>
    </row>
    <row r="737" spans="1:4" ht="15.75" customHeight="1" x14ac:dyDescent="0.2">
      <c r="A737" s="2" t="s">
        <v>56</v>
      </c>
      <c r="B737" s="2" t="str">
        <f>"冉玥"</f>
        <v>冉玥</v>
      </c>
      <c r="C737" s="2" t="str">
        <f>"女"</f>
        <v>女</v>
      </c>
      <c r="D737" s="2" t="str">
        <f>"1993-05-05"</f>
        <v>1993-05-05</v>
      </c>
    </row>
    <row r="738" spans="1:4" ht="15.75" customHeight="1" x14ac:dyDescent="0.2">
      <c r="A738" s="2" t="s">
        <v>20</v>
      </c>
      <c r="B738" s="2" t="str">
        <f>"马聂云"</f>
        <v>马聂云</v>
      </c>
      <c r="C738" s="2" t="str">
        <f>"男"</f>
        <v>男</v>
      </c>
      <c r="D738" s="2" t="str">
        <f>"1998-10-09"</f>
        <v>1998-10-09</v>
      </c>
    </row>
    <row r="739" spans="1:4" ht="15.75" customHeight="1" x14ac:dyDescent="0.2">
      <c r="A739" s="2" t="s">
        <v>52</v>
      </c>
      <c r="B739" s="2" t="str">
        <f>" 朱奇林"</f>
        <v xml:space="preserve"> 朱奇林</v>
      </c>
      <c r="C739" s="2" t="str">
        <f>"男"</f>
        <v>男</v>
      </c>
      <c r="D739" s="2" t="str">
        <f>"1994-08-16"</f>
        <v>1994-08-16</v>
      </c>
    </row>
    <row r="740" spans="1:4" ht="15.75" customHeight="1" x14ac:dyDescent="0.2">
      <c r="A740" s="2" t="s">
        <v>4</v>
      </c>
      <c r="B740" s="2" t="str">
        <f>"缑文新"</f>
        <v>缑文新</v>
      </c>
      <c r="C740" s="2" t="str">
        <f>"男"</f>
        <v>男</v>
      </c>
      <c r="D740" s="2" t="str">
        <f>"1994-02-07"</f>
        <v>1994-02-07</v>
      </c>
    </row>
    <row r="741" spans="1:4" ht="15.75" customHeight="1" x14ac:dyDescent="0.2">
      <c r="A741" s="2" t="s">
        <v>50</v>
      </c>
      <c r="B741" s="2" t="str">
        <f>"赵俊"</f>
        <v>赵俊</v>
      </c>
      <c r="C741" s="2" t="str">
        <f>"男"</f>
        <v>男</v>
      </c>
      <c r="D741" s="2" t="str">
        <f>"1992-11-02"</f>
        <v>1992-11-02</v>
      </c>
    </row>
    <row r="742" spans="1:4" ht="15.75" customHeight="1" x14ac:dyDescent="0.2">
      <c r="A742" s="2" t="s">
        <v>4</v>
      </c>
      <c r="B742" s="2" t="str">
        <f>"孙小佼"</f>
        <v>孙小佼</v>
      </c>
      <c r="C742" s="2" t="str">
        <f>"男"</f>
        <v>男</v>
      </c>
      <c r="D742" s="2" t="str">
        <f>"1990-10-06"</f>
        <v>1990-10-06</v>
      </c>
    </row>
    <row r="743" spans="1:4" ht="15.75" customHeight="1" x14ac:dyDescent="0.2">
      <c r="A743" s="2" t="s">
        <v>65</v>
      </c>
      <c r="B743" s="2" t="str">
        <f>"彭敏"</f>
        <v>彭敏</v>
      </c>
      <c r="C743" s="2" t="str">
        <f>"女"</f>
        <v>女</v>
      </c>
      <c r="D743" s="2" t="str">
        <f>"1995-05-15"</f>
        <v>1995-05-15</v>
      </c>
    </row>
    <row r="744" spans="1:4" ht="15.75" customHeight="1" x14ac:dyDescent="0.2">
      <c r="A744" s="2" t="s">
        <v>28</v>
      </c>
      <c r="B744" s="2" t="str">
        <f>"郭安"</f>
        <v>郭安</v>
      </c>
      <c r="C744" s="2" t="str">
        <f>"男"</f>
        <v>男</v>
      </c>
      <c r="D744" s="2" t="str">
        <f>"1992-11-29"</f>
        <v>1992-11-29</v>
      </c>
    </row>
    <row r="745" spans="1:4" ht="15.75" customHeight="1" x14ac:dyDescent="0.2">
      <c r="A745" s="2" t="s">
        <v>58</v>
      </c>
      <c r="B745" s="2" t="str">
        <f>"黄紫钰"</f>
        <v>黄紫钰</v>
      </c>
      <c r="C745" s="2" t="str">
        <f>"女"</f>
        <v>女</v>
      </c>
      <c r="D745" s="2" t="str">
        <f>"1999-08-19"</f>
        <v>1999-08-19</v>
      </c>
    </row>
    <row r="746" spans="1:4" ht="15.75" customHeight="1" x14ac:dyDescent="0.2">
      <c r="A746" s="2" t="s">
        <v>24</v>
      </c>
      <c r="B746" s="2" t="str">
        <f>"向彩霞"</f>
        <v>向彩霞</v>
      </c>
      <c r="C746" s="2" t="str">
        <f>"女"</f>
        <v>女</v>
      </c>
      <c r="D746" s="2" t="str">
        <f>"1986-09-12"</f>
        <v>1986-09-12</v>
      </c>
    </row>
    <row r="747" spans="1:4" ht="15.75" customHeight="1" x14ac:dyDescent="0.2">
      <c r="A747" s="2" t="s">
        <v>73</v>
      </c>
      <c r="B747" s="2" t="str">
        <f>"廖攀"</f>
        <v>廖攀</v>
      </c>
      <c r="C747" s="2" t="str">
        <f>"女"</f>
        <v>女</v>
      </c>
      <c r="D747" s="2" t="str">
        <f>"1997-01-16"</f>
        <v>1997-01-16</v>
      </c>
    </row>
    <row r="748" spans="1:4" ht="15.75" customHeight="1" x14ac:dyDescent="0.2">
      <c r="A748" s="2" t="s">
        <v>14</v>
      </c>
      <c r="B748" s="2" t="str">
        <f>"郭承林"</f>
        <v>郭承林</v>
      </c>
      <c r="C748" s="2" t="str">
        <f>"男"</f>
        <v>男</v>
      </c>
      <c r="D748" s="2" t="str">
        <f>"1993-07-22"</f>
        <v>1993-07-22</v>
      </c>
    </row>
    <row r="749" spans="1:4" ht="15.75" customHeight="1" x14ac:dyDescent="0.2">
      <c r="A749" s="2" t="s">
        <v>23</v>
      </c>
      <c r="B749" s="2" t="str">
        <f>"陈子贤"</f>
        <v>陈子贤</v>
      </c>
      <c r="C749" s="2" t="str">
        <f>"男"</f>
        <v>男</v>
      </c>
      <c r="D749" s="2" t="str">
        <f>"1996-10-08"</f>
        <v>1996-10-08</v>
      </c>
    </row>
    <row r="750" spans="1:4" ht="15.75" customHeight="1" x14ac:dyDescent="0.2">
      <c r="A750" s="2" t="s">
        <v>24</v>
      </c>
      <c r="B750" s="2" t="str">
        <f>"杨铠铭"</f>
        <v>杨铠铭</v>
      </c>
      <c r="C750" s="2" t="str">
        <f>"男"</f>
        <v>男</v>
      </c>
      <c r="D750" s="2" t="str">
        <f>"1997-04-10"</f>
        <v>1997-04-10</v>
      </c>
    </row>
    <row r="751" spans="1:4" ht="15.75" customHeight="1" x14ac:dyDescent="0.2">
      <c r="A751" s="2" t="s">
        <v>56</v>
      </c>
      <c r="B751" s="2" t="str">
        <f>"邱爽"</f>
        <v>邱爽</v>
      </c>
      <c r="C751" s="2" t="str">
        <f>"女"</f>
        <v>女</v>
      </c>
      <c r="D751" s="2" t="str">
        <f>"1998-07-14"</f>
        <v>1998-07-14</v>
      </c>
    </row>
    <row r="752" spans="1:4" ht="15.75" customHeight="1" x14ac:dyDescent="0.2">
      <c r="A752" s="2" t="s">
        <v>15</v>
      </c>
      <c r="B752" s="2" t="str">
        <f>"王业恒"</f>
        <v>王业恒</v>
      </c>
      <c r="C752" s="2" t="str">
        <f>"男"</f>
        <v>男</v>
      </c>
      <c r="D752" s="2" t="str">
        <f>"1996-06-23"</f>
        <v>1996-06-23</v>
      </c>
    </row>
    <row r="753" spans="1:4" ht="15.75" customHeight="1" x14ac:dyDescent="0.2">
      <c r="A753" s="2" t="s">
        <v>31</v>
      </c>
      <c r="B753" s="2" t="str">
        <f>"王茜熙"</f>
        <v>王茜熙</v>
      </c>
      <c r="C753" s="2" t="str">
        <f>"女"</f>
        <v>女</v>
      </c>
      <c r="D753" s="2" t="str">
        <f>"1995-05-13"</f>
        <v>1995-05-13</v>
      </c>
    </row>
    <row r="754" spans="1:4" ht="15.75" customHeight="1" x14ac:dyDescent="0.2">
      <c r="A754" s="2" t="s">
        <v>16</v>
      </c>
      <c r="B754" s="2" t="str">
        <f>"肖瑶"</f>
        <v>肖瑶</v>
      </c>
      <c r="C754" s="2" t="str">
        <f>"女"</f>
        <v>女</v>
      </c>
      <c r="D754" s="2" t="str">
        <f>"1997-11-10"</f>
        <v>1997-11-10</v>
      </c>
    </row>
    <row r="755" spans="1:4" ht="15.75" customHeight="1" x14ac:dyDescent="0.2">
      <c r="A755" s="2" t="s">
        <v>14</v>
      </c>
      <c r="B755" s="2" t="str">
        <f>"王细桃"</f>
        <v>王细桃</v>
      </c>
      <c r="C755" s="2" t="str">
        <f>"女"</f>
        <v>女</v>
      </c>
      <c r="D755" s="2" t="str">
        <f>"1988-09-29"</f>
        <v>1988-09-29</v>
      </c>
    </row>
    <row r="756" spans="1:4" ht="15.75" customHeight="1" x14ac:dyDescent="0.2">
      <c r="A756" s="2" t="s">
        <v>14</v>
      </c>
      <c r="B756" s="2" t="str">
        <f>"杨琴"</f>
        <v>杨琴</v>
      </c>
      <c r="C756" s="2" t="str">
        <f>"女"</f>
        <v>女</v>
      </c>
      <c r="D756" s="2" t="str">
        <f>"1996-10-22"</f>
        <v>1996-10-22</v>
      </c>
    </row>
    <row r="757" spans="1:4" ht="15.75" customHeight="1" x14ac:dyDescent="0.2">
      <c r="A757" s="2" t="s">
        <v>13</v>
      </c>
      <c r="B757" s="2" t="str">
        <f>"邹健"</f>
        <v>邹健</v>
      </c>
      <c r="C757" s="2" t="str">
        <f>"男"</f>
        <v>男</v>
      </c>
      <c r="D757" s="2" t="str">
        <f>"1993-02-07"</f>
        <v>1993-02-07</v>
      </c>
    </row>
    <row r="758" spans="1:4" ht="15.75" customHeight="1" x14ac:dyDescent="0.2">
      <c r="A758" s="2" t="s">
        <v>24</v>
      </c>
      <c r="B758" s="2" t="str">
        <f>"刘艳飞"</f>
        <v>刘艳飞</v>
      </c>
      <c r="C758" s="2" t="str">
        <f>"女"</f>
        <v>女</v>
      </c>
      <c r="D758" s="2" t="str">
        <f>"1989-07-03"</f>
        <v>1989-07-03</v>
      </c>
    </row>
    <row r="759" spans="1:4" ht="15.75" customHeight="1" x14ac:dyDescent="0.2">
      <c r="A759" s="2" t="s">
        <v>61</v>
      </c>
      <c r="B759" s="2" t="str">
        <f>"易彪"</f>
        <v>易彪</v>
      </c>
      <c r="C759" s="2" t="str">
        <f>"男"</f>
        <v>男</v>
      </c>
      <c r="D759" s="2" t="str">
        <f>"1998-03-10"</f>
        <v>1998-03-10</v>
      </c>
    </row>
    <row r="760" spans="1:4" ht="15.75" customHeight="1" x14ac:dyDescent="0.2">
      <c r="A760" s="2" t="s">
        <v>31</v>
      </c>
      <c r="B760" s="2" t="str">
        <f>"曾伟"</f>
        <v>曾伟</v>
      </c>
      <c r="C760" s="2" t="str">
        <f>"男"</f>
        <v>男</v>
      </c>
      <c r="D760" s="2" t="str">
        <f>"1992-03-01"</f>
        <v>1992-03-01</v>
      </c>
    </row>
    <row r="761" spans="1:4" ht="15.75" customHeight="1" x14ac:dyDescent="0.2">
      <c r="A761" s="2" t="s">
        <v>41</v>
      </c>
      <c r="B761" s="2" t="str">
        <f>"张群"</f>
        <v>张群</v>
      </c>
      <c r="C761" s="2" t="str">
        <f>"女"</f>
        <v>女</v>
      </c>
      <c r="D761" s="2" t="str">
        <f>"1998-04-29"</f>
        <v>1998-04-29</v>
      </c>
    </row>
    <row r="762" spans="1:4" ht="15.75" customHeight="1" x14ac:dyDescent="0.2">
      <c r="A762" s="2" t="s">
        <v>14</v>
      </c>
      <c r="B762" s="2" t="str">
        <f>"黎岚"</f>
        <v>黎岚</v>
      </c>
      <c r="C762" s="2" t="str">
        <f>"女"</f>
        <v>女</v>
      </c>
      <c r="D762" s="2" t="str">
        <f>"1986-10-03"</f>
        <v>1986-10-03</v>
      </c>
    </row>
    <row r="763" spans="1:4" ht="15.75" customHeight="1" x14ac:dyDescent="0.2">
      <c r="A763" s="2" t="s">
        <v>41</v>
      </c>
      <c r="B763" s="2" t="str">
        <f>"郭东昌"</f>
        <v>郭东昌</v>
      </c>
      <c r="C763" s="2" t="str">
        <f>"男"</f>
        <v>男</v>
      </c>
      <c r="D763" s="2" t="str">
        <f>"1996-09-02"</f>
        <v>1996-09-02</v>
      </c>
    </row>
    <row r="764" spans="1:4" ht="15.75" customHeight="1" x14ac:dyDescent="0.2">
      <c r="A764" s="2" t="s">
        <v>58</v>
      </c>
      <c r="B764" s="2" t="str">
        <f>"陈曦"</f>
        <v>陈曦</v>
      </c>
      <c r="C764" s="2" t="str">
        <f t="shared" ref="C764:C778" si="14">"女"</f>
        <v>女</v>
      </c>
      <c r="D764" s="2" t="str">
        <f>"1989-04-01"</f>
        <v>1989-04-01</v>
      </c>
    </row>
    <row r="765" spans="1:4" ht="15.75" customHeight="1" x14ac:dyDescent="0.2">
      <c r="A765" s="2" t="s">
        <v>18</v>
      </c>
      <c r="B765" s="2" t="str">
        <f>"李悦敏"</f>
        <v>李悦敏</v>
      </c>
      <c r="C765" s="2" t="str">
        <f t="shared" si="14"/>
        <v>女</v>
      </c>
      <c r="D765" s="2" t="str">
        <f>"1996-03-21"</f>
        <v>1996-03-21</v>
      </c>
    </row>
    <row r="766" spans="1:4" ht="15.75" customHeight="1" x14ac:dyDescent="0.2">
      <c r="A766" s="2" t="s">
        <v>36</v>
      </c>
      <c r="B766" s="2" t="str">
        <f>"蔡思敏"</f>
        <v>蔡思敏</v>
      </c>
      <c r="C766" s="2" t="str">
        <f t="shared" si="14"/>
        <v>女</v>
      </c>
      <c r="D766" s="2" t="str">
        <f>"1993-10-05"</f>
        <v>1993-10-05</v>
      </c>
    </row>
    <row r="767" spans="1:4" ht="15.75" customHeight="1" x14ac:dyDescent="0.2">
      <c r="A767" s="2" t="s">
        <v>44</v>
      </c>
      <c r="B767" s="2" t="str">
        <f>"王婷"</f>
        <v>王婷</v>
      </c>
      <c r="C767" s="2" t="str">
        <f t="shared" si="14"/>
        <v>女</v>
      </c>
      <c r="D767" s="2" t="str">
        <f>"1991-10-14"</f>
        <v>1991-10-14</v>
      </c>
    </row>
    <row r="768" spans="1:4" ht="15.75" customHeight="1" x14ac:dyDescent="0.2">
      <c r="A768" s="2" t="s">
        <v>50</v>
      </c>
      <c r="B768" s="2" t="str">
        <f>"罗莹"</f>
        <v>罗莹</v>
      </c>
      <c r="C768" s="2" t="str">
        <f t="shared" si="14"/>
        <v>女</v>
      </c>
      <c r="D768" s="2" t="str">
        <f>"1999-12-24"</f>
        <v>1999-12-24</v>
      </c>
    </row>
    <row r="769" spans="1:4" ht="15.75" customHeight="1" x14ac:dyDescent="0.2">
      <c r="A769" s="2" t="s">
        <v>25</v>
      </c>
      <c r="B769" s="2" t="str">
        <f>"沙祯"</f>
        <v>沙祯</v>
      </c>
      <c r="C769" s="2" t="str">
        <f t="shared" si="14"/>
        <v>女</v>
      </c>
      <c r="D769" s="2" t="str">
        <f>"1988-03-12"</f>
        <v>1988-03-12</v>
      </c>
    </row>
    <row r="770" spans="1:4" ht="15.75" customHeight="1" x14ac:dyDescent="0.2">
      <c r="A770" s="2" t="s">
        <v>22</v>
      </c>
      <c r="B770" s="2" t="str">
        <f>"鲁小曼"</f>
        <v>鲁小曼</v>
      </c>
      <c r="C770" s="2" t="str">
        <f t="shared" si="14"/>
        <v>女</v>
      </c>
      <c r="D770" s="2" t="str">
        <f>"1997-03-22"</f>
        <v>1997-03-22</v>
      </c>
    </row>
    <row r="771" spans="1:4" ht="15.75" customHeight="1" x14ac:dyDescent="0.2">
      <c r="A771" s="2" t="s">
        <v>14</v>
      </c>
      <c r="B771" s="2" t="str">
        <f>"云莹"</f>
        <v>云莹</v>
      </c>
      <c r="C771" s="2" t="str">
        <f t="shared" si="14"/>
        <v>女</v>
      </c>
      <c r="D771" s="2" t="str">
        <f>"1992-10-05"</f>
        <v>1992-10-05</v>
      </c>
    </row>
    <row r="772" spans="1:4" ht="15.75" customHeight="1" x14ac:dyDescent="0.2">
      <c r="A772" s="2" t="s">
        <v>30</v>
      </c>
      <c r="B772" s="2" t="str">
        <f>"吴超"</f>
        <v>吴超</v>
      </c>
      <c r="C772" s="2" t="str">
        <f t="shared" si="14"/>
        <v>女</v>
      </c>
      <c r="D772" s="2" t="str">
        <f>"1987-10-17"</f>
        <v>1987-10-17</v>
      </c>
    </row>
    <row r="773" spans="1:4" ht="15.75" customHeight="1" x14ac:dyDescent="0.2">
      <c r="A773" s="2" t="s">
        <v>61</v>
      </c>
      <c r="B773" s="2" t="str">
        <f>"田航"</f>
        <v>田航</v>
      </c>
      <c r="C773" s="2" t="str">
        <f t="shared" si="14"/>
        <v>女</v>
      </c>
      <c r="D773" s="2" t="str">
        <f>"1997-11-13"</f>
        <v>1997-11-13</v>
      </c>
    </row>
    <row r="774" spans="1:4" ht="15.75" customHeight="1" x14ac:dyDescent="0.2">
      <c r="A774" s="2" t="s">
        <v>61</v>
      </c>
      <c r="B774" s="2" t="str">
        <f>"唐子幸"</f>
        <v>唐子幸</v>
      </c>
      <c r="C774" s="2" t="str">
        <f t="shared" si="14"/>
        <v>女</v>
      </c>
      <c r="D774" s="2" t="str">
        <f>"1996-06-21"</f>
        <v>1996-06-21</v>
      </c>
    </row>
    <row r="775" spans="1:4" ht="15.75" customHeight="1" x14ac:dyDescent="0.2">
      <c r="A775" s="2" t="s">
        <v>49</v>
      </c>
      <c r="B775" s="2" t="str">
        <f>"文虎"</f>
        <v>文虎</v>
      </c>
      <c r="C775" s="2" t="str">
        <f t="shared" si="14"/>
        <v>女</v>
      </c>
      <c r="D775" s="2" t="str">
        <f>"1986-01-04"</f>
        <v>1986-01-04</v>
      </c>
    </row>
    <row r="776" spans="1:4" ht="15.75" customHeight="1" x14ac:dyDescent="0.2">
      <c r="A776" s="2" t="s">
        <v>36</v>
      </c>
      <c r="B776" s="2" t="str">
        <f>"杨灿"</f>
        <v>杨灿</v>
      </c>
      <c r="C776" s="2" t="str">
        <f t="shared" si="14"/>
        <v>女</v>
      </c>
      <c r="D776" s="2" t="str">
        <f>"1995-08-30"</f>
        <v>1995-08-30</v>
      </c>
    </row>
    <row r="777" spans="1:4" ht="15.75" customHeight="1" x14ac:dyDescent="0.2">
      <c r="A777" s="2" t="s">
        <v>56</v>
      </c>
      <c r="B777" s="2" t="str">
        <f>"罗静"</f>
        <v>罗静</v>
      </c>
      <c r="C777" s="2" t="str">
        <f t="shared" si="14"/>
        <v>女</v>
      </c>
      <c r="D777" s="2" t="str">
        <f>"1998-03-21"</f>
        <v>1998-03-21</v>
      </c>
    </row>
    <row r="778" spans="1:4" ht="15.75" customHeight="1" x14ac:dyDescent="0.2">
      <c r="A778" s="2" t="s">
        <v>8</v>
      </c>
      <c r="B778" s="2" t="str">
        <f>"肖佳妤"</f>
        <v>肖佳妤</v>
      </c>
      <c r="C778" s="2" t="str">
        <f t="shared" si="14"/>
        <v>女</v>
      </c>
      <c r="D778" s="2" t="str">
        <f>"1993-12-28"</f>
        <v>1993-12-28</v>
      </c>
    </row>
    <row r="779" spans="1:4" ht="15.75" customHeight="1" x14ac:dyDescent="0.2">
      <c r="A779" s="2" t="s">
        <v>54</v>
      </c>
      <c r="B779" s="2" t="str">
        <f>"欧阳哲宇"</f>
        <v>欧阳哲宇</v>
      </c>
      <c r="C779" s="2" t="str">
        <f>"男"</f>
        <v>男</v>
      </c>
      <c r="D779" s="2" t="str">
        <f>"1999-05-27"</f>
        <v>1999-05-27</v>
      </c>
    </row>
    <row r="780" spans="1:4" ht="15.75" customHeight="1" x14ac:dyDescent="0.2">
      <c r="A780" s="2" t="s">
        <v>66</v>
      </c>
      <c r="B780" s="2" t="str">
        <f>"覃莹雪"</f>
        <v>覃莹雪</v>
      </c>
      <c r="C780" s="2" t="str">
        <f>"女"</f>
        <v>女</v>
      </c>
      <c r="D780" s="2" t="str">
        <f>"1992-07-06"</f>
        <v>1992-07-06</v>
      </c>
    </row>
    <row r="781" spans="1:4" ht="15.75" customHeight="1" x14ac:dyDescent="0.2">
      <c r="A781" s="2" t="s">
        <v>8</v>
      </c>
      <c r="B781" s="2" t="str">
        <f>"谢润泽"</f>
        <v>谢润泽</v>
      </c>
      <c r="C781" s="2" t="str">
        <f>"男"</f>
        <v>男</v>
      </c>
      <c r="D781" s="2" t="str">
        <f>"1995-12-04"</f>
        <v>1995-12-04</v>
      </c>
    </row>
    <row r="782" spans="1:4" ht="15.75" customHeight="1" x14ac:dyDescent="0.2">
      <c r="A782" s="2" t="s">
        <v>24</v>
      </c>
      <c r="B782" s="2" t="str">
        <f>"雷蕾"</f>
        <v>雷蕾</v>
      </c>
      <c r="C782" s="2" t="str">
        <f>"女"</f>
        <v>女</v>
      </c>
      <c r="D782" s="2" t="str">
        <f>"1993-10-08"</f>
        <v>1993-10-08</v>
      </c>
    </row>
    <row r="783" spans="1:4" ht="15.75" customHeight="1" x14ac:dyDescent="0.2">
      <c r="A783" s="2" t="s">
        <v>30</v>
      </c>
      <c r="B783" s="2" t="str">
        <f>"朱治中"</f>
        <v>朱治中</v>
      </c>
      <c r="C783" s="2" t="str">
        <f>"男"</f>
        <v>男</v>
      </c>
      <c r="D783" s="2" t="str">
        <f>"1995-11-13"</f>
        <v>1995-11-13</v>
      </c>
    </row>
    <row r="784" spans="1:4" ht="15.75" customHeight="1" x14ac:dyDescent="0.2">
      <c r="A784" s="2" t="s">
        <v>49</v>
      </c>
      <c r="B784" s="2" t="str">
        <f>"史竞芳"</f>
        <v>史竞芳</v>
      </c>
      <c r="C784" s="2" t="str">
        <f>"女"</f>
        <v>女</v>
      </c>
      <c r="D784" s="2" t="str">
        <f>"1986-06-14"</f>
        <v>1986-06-14</v>
      </c>
    </row>
    <row r="785" spans="1:4" ht="15.75" customHeight="1" x14ac:dyDescent="0.2">
      <c r="A785" s="2" t="s">
        <v>44</v>
      </c>
      <c r="B785" s="2" t="str">
        <f>"彭桢"</f>
        <v>彭桢</v>
      </c>
      <c r="C785" s="2" t="str">
        <f>"女"</f>
        <v>女</v>
      </c>
      <c r="D785" s="2" t="str">
        <f>"1998-03-17"</f>
        <v>1998-03-17</v>
      </c>
    </row>
    <row r="786" spans="1:4" ht="15.75" customHeight="1" x14ac:dyDescent="0.2">
      <c r="A786" s="2" t="s">
        <v>18</v>
      </c>
      <c r="B786" s="2" t="str">
        <f>"吴浪"</f>
        <v>吴浪</v>
      </c>
      <c r="C786" s="2" t="str">
        <f>"男"</f>
        <v>男</v>
      </c>
      <c r="D786" s="2" t="str">
        <f>"1999-10-29"</f>
        <v>1999-10-29</v>
      </c>
    </row>
    <row r="787" spans="1:4" ht="15.75" customHeight="1" x14ac:dyDescent="0.2">
      <c r="A787" s="2" t="s">
        <v>59</v>
      </c>
      <c r="B787" s="2" t="str">
        <f>"胡庭翔"</f>
        <v>胡庭翔</v>
      </c>
      <c r="C787" s="2" t="str">
        <f>"男"</f>
        <v>男</v>
      </c>
      <c r="D787" s="2" t="str">
        <f>"1995-11-08"</f>
        <v>1995-11-08</v>
      </c>
    </row>
    <row r="788" spans="1:4" ht="15.75" customHeight="1" x14ac:dyDescent="0.2">
      <c r="A788" s="2" t="s">
        <v>57</v>
      </c>
      <c r="B788" s="2" t="str">
        <f>"罗博文"</f>
        <v>罗博文</v>
      </c>
      <c r="C788" s="2" t="str">
        <f>"男"</f>
        <v>男</v>
      </c>
      <c r="D788" s="2" t="str">
        <f>"1990-08-15"</f>
        <v>1990-08-15</v>
      </c>
    </row>
    <row r="789" spans="1:4" ht="15.75" customHeight="1" x14ac:dyDescent="0.2">
      <c r="A789" s="2" t="s">
        <v>54</v>
      </c>
      <c r="B789" s="2" t="str">
        <f>"易洪宇"</f>
        <v>易洪宇</v>
      </c>
      <c r="C789" s="2" t="str">
        <f>"男"</f>
        <v>男</v>
      </c>
      <c r="D789" s="2" t="str">
        <f>"1998-02-15"</f>
        <v>1998-02-15</v>
      </c>
    </row>
    <row r="790" spans="1:4" ht="15.75" customHeight="1" x14ac:dyDescent="0.2">
      <c r="A790" s="2" t="s">
        <v>12</v>
      </c>
      <c r="B790" s="2" t="str">
        <f>"陈奕顺"</f>
        <v>陈奕顺</v>
      </c>
      <c r="C790" s="2" t="str">
        <f>"女"</f>
        <v>女</v>
      </c>
      <c r="D790" s="2" t="str">
        <f>"1996-08-10"</f>
        <v>1996-08-10</v>
      </c>
    </row>
    <row r="791" spans="1:4" ht="15.75" customHeight="1" x14ac:dyDescent="0.2">
      <c r="A791" s="2" t="s">
        <v>29</v>
      </c>
      <c r="B791" s="2" t="str">
        <f>"何静"</f>
        <v>何静</v>
      </c>
      <c r="C791" s="2" t="str">
        <f>"女"</f>
        <v>女</v>
      </c>
      <c r="D791" s="2" t="str">
        <f>"1991-10-17"</f>
        <v>1991-10-17</v>
      </c>
    </row>
    <row r="792" spans="1:4" ht="15.75" customHeight="1" x14ac:dyDescent="0.2">
      <c r="A792" s="2" t="s">
        <v>4</v>
      </c>
      <c r="B792" s="2" t="str">
        <f>"黄秋生"</f>
        <v>黄秋生</v>
      </c>
      <c r="C792" s="2" t="str">
        <f>"男"</f>
        <v>男</v>
      </c>
      <c r="D792" s="2" t="str">
        <f>"1992-07-28"</f>
        <v>1992-07-28</v>
      </c>
    </row>
    <row r="793" spans="1:4" ht="15.75" customHeight="1" x14ac:dyDescent="0.2">
      <c r="A793" s="2" t="s">
        <v>15</v>
      </c>
      <c r="B793" s="2" t="str">
        <f>"彭毅航"</f>
        <v>彭毅航</v>
      </c>
      <c r="C793" s="2" t="str">
        <f>"男"</f>
        <v>男</v>
      </c>
      <c r="D793" s="2" t="str">
        <f>"2000-08-25"</f>
        <v>2000-08-25</v>
      </c>
    </row>
    <row r="794" spans="1:4" ht="15.75" customHeight="1" x14ac:dyDescent="0.2">
      <c r="A794" s="2" t="s">
        <v>18</v>
      </c>
      <c r="B794" s="2" t="str">
        <f>"谭强冰"</f>
        <v>谭强冰</v>
      </c>
      <c r="C794" s="2" t="str">
        <f>"男"</f>
        <v>男</v>
      </c>
      <c r="D794" s="2" t="str">
        <f>"1986-01-31"</f>
        <v>1986-01-31</v>
      </c>
    </row>
    <row r="795" spans="1:4" ht="15.75" customHeight="1" x14ac:dyDescent="0.2">
      <c r="A795" s="2" t="s">
        <v>70</v>
      </c>
      <c r="B795" s="2" t="str">
        <f>"吴秀"</f>
        <v>吴秀</v>
      </c>
      <c r="C795" s="2" t="str">
        <f>"女"</f>
        <v>女</v>
      </c>
      <c r="D795" s="2" t="str">
        <f>"1991-04-29"</f>
        <v>1991-04-29</v>
      </c>
    </row>
    <row r="796" spans="1:4" ht="15.75" customHeight="1" x14ac:dyDescent="0.2">
      <c r="A796" s="2" t="s">
        <v>46</v>
      </c>
      <c r="B796" s="2" t="str">
        <f>"徐诗雨"</f>
        <v>徐诗雨</v>
      </c>
      <c r="C796" s="2" t="str">
        <f>"女"</f>
        <v>女</v>
      </c>
      <c r="D796" s="2" t="str">
        <f>"1995-02-01"</f>
        <v>1995-02-01</v>
      </c>
    </row>
    <row r="797" spans="1:4" ht="15.75" customHeight="1" x14ac:dyDescent="0.2">
      <c r="A797" s="2" t="s">
        <v>34</v>
      </c>
      <c r="B797" s="2" t="str">
        <f>"戴志诚"</f>
        <v>戴志诚</v>
      </c>
      <c r="C797" s="2" t="str">
        <f>"男"</f>
        <v>男</v>
      </c>
      <c r="D797" s="2" t="str">
        <f>"1998-09-01"</f>
        <v>1998-09-01</v>
      </c>
    </row>
    <row r="798" spans="1:4" ht="15.75" customHeight="1" x14ac:dyDescent="0.2">
      <c r="A798" s="2" t="s">
        <v>15</v>
      </c>
      <c r="B798" s="2" t="str">
        <f>"李肖慧子"</f>
        <v>李肖慧子</v>
      </c>
      <c r="C798" s="2" t="str">
        <f>"女"</f>
        <v>女</v>
      </c>
      <c r="D798" s="2" t="str">
        <f>"1994-10-08"</f>
        <v>1994-10-08</v>
      </c>
    </row>
    <row r="799" spans="1:4" ht="15.75" customHeight="1" x14ac:dyDescent="0.2">
      <c r="A799" s="2" t="s">
        <v>24</v>
      </c>
      <c r="B799" s="2" t="str">
        <f>"刘菲"</f>
        <v>刘菲</v>
      </c>
      <c r="C799" s="2" t="str">
        <f>"女"</f>
        <v>女</v>
      </c>
      <c r="D799" s="2" t="str">
        <f>"1994-11-28"</f>
        <v>1994-11-28</v>
      </c>
    </row>
    <row r="800" spans="1:4" ht="15.75" customHeight="1" x14ac:dyDescent="0.2">
      <c r="A800" s="2" t="s">
        <v>31</v>
      </c>
      <c r="B800" s="2" t="str">
        <f>"丁斌"</f>
        <v>丁斌</v>
      </c>
      <c r="C800" s="2" t="str">
        <f>"男"</f>
        <v>男</v>
      </c>
      <c r="D800" s="2" t="str">
        <f>"1993-07-29"</f>
        <v>1993-07-29</v>
      </c>
    </row>
    <row r="801" spans="1:4" ht="15.75" customHeight="1" x14ac:dyDescent="0.2">
      <c r="A801" s="2" t="s">
        <v>12</v>
      </c>
      <c r="B801" s="2" t="str">
        <f>"刘雨彤"</f>
        <v>刘雨彤</v>
      </c>
      <c r="C801" s="2" t="str">
        <f>"女"</f>
        <v>女</v>
      </c>
      <c r="D801" s="2" t="str">
        <f>"1998-06-27"</f>
        <v>1998-06-27</v>
      </c>
    </row>
    <row r="802" spans="1:4" ht="15.75" customHeight="1" x14ac:dyDescent="0.2">
      <c r="A802" s="2" t="s">
        <v>13</v>
      </c>
      <c r="B802" s="2" t="str">
        <f>"陶琴琴"</f>
        <v>陶琴琴</v>
      </c>
      <c r="C802" s="2" t="str">
        <f>"女"</f>
        <v>女</v>
      </c>
      <c r="D802" s="2" t="str">
        <f>"1987-06-21"</f>
        <v>1987-06-21</v>
      </c>
    </row>
    <row r="803" spans="1:4" ht="15.75" customHeight="1" x14ac:dyDescent="0.2">
      <c r="A803" s="2" t="s">
        <v>28</v>
      </c>
      <c r="B803" s="2" t="str">
        <f>"卿莉新"</f>
        <v>卿莉新</v>
      </c>
      <c r="C803" s="2" t="str">
        <f>"女"</f>
        <v>女</v>
      </c>
      <c r="D803" s="2" t="str">
        <f>"1996-10-04"</f>
        <v>1996-10-04</v>
      </c>
    </row>
    <row r="804" spans="1:4" ht="15.75" customHeight="1" x14ac:dyDescent="0.2">
      <c r="A804" s="2" t="s">
        <v>42</v>
      </c>
      <c r="B804" s="2" t="str">
        <f>"肖婧"</f>
        <v>肖婧</v>
      </c>
      <c r="C804" s="2" t="str">
        <f>"女"</f>
        <v>女</v>
      </c>
      <c r="D804" s="2" t="str">
        <f>"1990-07-12"</f>
        <v>1990-07-12</v>
      </c>
    </row>
    <row r="805" spans="1:4" ht="15.75" customHeight="1" x14ac:dyDescent="0.2">
      <c r="A805" s="2" t="s">
        <v>27</v>
      </c>
      <c r="B805" s="2" t="str">
        <f>"陈金航"</f>
        <v>陈金航</v>
      </c>
      <c r="C805" s="2" t="str">
        <f>"男"</f>
        <v>男</v>
      </c>
      <c r="D805" s="2" t="str">
        <f>"1996-04-11"</f>
        <v>1996-04-11</v>
      </c>
    </row>
    <row r="806" spans="1:4" ht="15.75" customHeight="1" x14ac:dyDescent="0.2">
      <c r="A806" s="2" t="s">
        <v>14</v>
      </c>
      <c r="B806" s="2" t="str">
        <f>"王周熔"</f>
        <v>王周熔</v>
      </c>
      <c r="C806" s="2" t="str">
        <f>"男"</f>
        <v>男</v>
      </c>
      <c r="D806" s="2" t="str">
        <f>"2000-10-16"</f>
        <v>2000-10-16</v>
      </c>
    </row>
    <row r="807" spans="1:4" ht="15.75" customHeight="1" x14ac:dyDescent="0.2">
      <c r="A807" s="2" t="s">
        <v>10</v>
      </c>
      <c r="B807" s="2" t="str">
        <f>"甄怡婷"</f>
        <v>甄怡婷</v>
      </c>
      <c r="C807" s="2" t="str">
        <f>"女"</f>
        <v>女</v>
      </c>
      <c r="D807" s="2" t="str">
        <f>"1998-12-18"</f>
        <v>1998-12-18</v>
      </c>
    </row>
    <row r="808" spans="1:4" ht="15.75" customHeight="1" x14ac:dyDescent="0.2">
      <c r="A808" s="2" t="s">
        <v>41</v>
      </c>
      <c r="B808" s="2" t="str">
        <f>"游凌涛"</f>
        <v>游凌涛</v>
      </c>
      <c r="C808" s="2" t="str">
        <f>"男"</f>
        <v>男</v>
      </c>
      <c r="D808" s="2" t="str">
        <f>"1996-11-28"</f>
        <v>1996-11-28</v>
      </c>
    </row>
    <row r="809" spans="1:4" ht="15.75" customHeight="1" x14ac:dyDescent="0.2">
      <c r="A809" s="2" t="s">
        <v>20</v>
      </c>
      <c r="B809" s="2" t="str">
        <f>"毛芳杰"</f>
        <v>毛芳杰</v>
      </c>
      <c r="C809" s="2" t="str">
        <f>"女"</f>
        <v>女</v>
      </c>
      <c r="D809" s="2" t="str">
        <f>"1995-02-16"</f>
        <v>1995-02-16</v>
      </c>
    </row>
    <row r="810" spans="1:4" ht="15.75" customHeight="1" x14ac:dyDescent="0.2">
      <c r="A810" s="2" t="s">
        <v>31</v>
      </c>
      <c r="B810" s="2" t="str">
        <f>"邹竺娟"</f>
        <v>邹竺娟</v>
      </c>
      <c r="C810" s="2" t="str">
        <f>"女"</f>
        <v>女</v>
      </c>
      <c r="D810" s="2" t="str">
        <f>"1997-10-10"</f>
        <v>1997-10-10</v>
      </c>
    </row>
    <row r="811" spans="1:4" ht="15.75" customHeight="1" x14ac:dyDescent="0.2">
      <c r="A811" s="2" t="s">
        <v>23</v>
      </c>
      <c r="B811" s="2" t="str">
        <f>"巢灿"</f>
        <v>巢灿</v>
      </c>
      <c r="C811" s="2" t="str">
        <f>"男"</f>
        <v>男</v>
      </c>
      <c r="D811" s="2" t="str">
        <f>"1998-09-26"</f>
        <v>1998-09-26</v>
      </c>
    </row>
    <row r="812" spans="1:4" ht="15.75" customHeight="1" x14ac:dyDescent="0.2">
      <c r="A812" s="2" t="s">
        <v>36</v>
      </c>
      <c r="B812" s="2" t="str">
        <f>"覃若男"</f>
        <v>覃若男</v>
      </c>
      <c r="C812" s="2" t="str">
        <f t="shared" ref="C812:C819" si="15">"女"</f>
        <v>女</v>
      </c>
      <c r="D812" s="2" t="str">
        <f>"1999-10-07"</f>
        <v>1999-10-07</v>
      </c>
    </row>
    <row r="813" spans="1:4" ht="15.75" customHeight="1" x14ac:dyDescent="0.2">
      <c r="A813" s="2" t="s">
        <v>55</v>
      </c>
      <c r="B813" s="2" t="str">
        <f>"林佳雯"</f>
        <v>林佳雯</v>
      </c>
      <c r="C813" s="2" t="str">
        <f t="shared" si="15"/>
        <v>女</v>
      </c>
      <c r="D813" s="2" t="str">
        <f>"1997-01-22"</f>
        <v>1997-01-22</v>
      </c>
    </row>
    <row r="814" spans="1:4" ht="15.75" customHeight="1" x14ac:dyDescent="0.2">
      <c r="A814" s="2" t="s">
        <v>43</v>
      </c>
      <c r="B814" s="2" t="str">
        <f>"王靖静"</f>
        <v>王靖静</v>
      </c>
      <c r="C814" s="2" t="str">
        <f t="shared" si="15"/>
        <v>女</v>
      </c>
      <c r="D814" s="2" t="str">
        <f>"1995-05-29"</f>
        <v>1995-05-29</v>
      </c>
    </row>
    <row r="815" spans="1:4" ht="15.75" customHeight="1" x14ac:dyDescent="0.2">
      <c r="A815" s="2" t="s">
        <v>33</v>
      </c>
      <c r="B815" s="2" t="str">
        <f>"杨湘萍"</f>
        <v>杨湘萍</v>
      </c>
      <c r="C815" s="2" t="str">
        <f t="shared" si="15"/>
        <v>女</v>
      </c>
      <c r="D815" s="2" t="str">
        <f>"1998-01-26"</f>
        <v>1998-01-26</v>
      </c>
    </row>
    <row r="816" spans="1:4" ht="15.75" customHeight="1" x14ac:dyDescent="0.2">
      <c r="A816" s="2" t="s">
        <v>46</v>
      </c>
      <c r="B816" s="2" t="str">
        <f>"王碧美"</f>
        <v>王碧美</v>
      </c>
      <c r="C816" s="2" t="str">
        <f t="shared" si="15"/>
        <v>女</v>
      </c>
      <c r="D816" s="2" t="str">
        <f>"1993-09-22"</f>
        <v>1993-09-22</v>
      </c>
    </row>
    <row r="817" spans="1:4" ht="15.75" customHeight="1" x14ac:dyDescent="0.2">
      <c r="A817" s="2" t="s">
        <v>40</v>
      </c>
      <c r="B817" s="2" t="str">
        <f>"陈依洁"</f>
        <v>陈依洁</v>
      </c>
      <c r="C817" s="2" t="str">
        <f t="shared" si="15"/>
        <v>女</v>
      </c>
      <c r="D817" s="2" t="str">
        <f>"1999-02-08"</f>
        <v>1999-02-08</v>
      </c>
    </row>
    <row r="818" spans="1:4" ht="15.75" customHeight="1" x14ac:dyDescent="0.2">
      <c r="A818" s="2" t="s">
        <v>58</v>
      </c>
      <c r="B818" s="2" t="str">
        <f>"杨倩"</f>
        <v>杨倩</v>
      </c>
      <c r="C818" s="2" t="str">
        <f t="shared" si="15"/>
        <v>女</v>
      </c>
      <c r="D818" s="2" t="str">
        <f>"1987-12-29"</f>
        <v>1987-12-29</v>
      </c>
    </row>
    <row r="819" spans="1:4" ht="15.75" customHeight="1" x14ac:dyDescent="0.2">
      <c r="A819" s="2" t="s">
        <v>13</v>
      </c>
      <c r="B819" s="2" t="str">
        <f>"张志莉"</f>
        <v>张志莉</v>
      </c>
      <c r="C819" s="2" t="str">
        <f t="shared" si="15"/>
        <v>女</v>
      </c>
      <c r="D819" s="2" t="str">
        <f>"1990-11-15"</f>
        <v>1990-11-15</v>
      </c>
    </row>
    <row r="820" spans="1:4" ht="15.75" customHeight="1" x14ac:dyDescent="0.2">
      <c r="A820" s="2" t="s">
        <v>14</v>
      </c>
      <c r="B820" s="2" t="str">
        <f>"戴康"</f>
        <v>戴康</v>
      </c>
      <c r="C820" s="2" t="str">
        <f>"男"</f>
        <v>男</v>
      </c>
      <c r="D820" s="2" t="str">
        <f>"1995-07-26"</f>
        <v>1995-07-26</v>
      </c>
    </row>
    <row r="821" spans="1:4" ht="15.75" customHeight="1" x14ac:dyDescent="0.2">
      <c r="A821" s="2" t="s">
        <v>28</v>
      </c>
      <c r="B821" s="2" t="str">
        <f>"张乔丹"</f>
        <v>张乔丹</v>
      </c>
      <c r="C821" s="2" t="str">
        <f>"男"</f>
        <v>男</v>
      </c>
      <c r="D821" s="2" t="str">
        <f>"1994-12-05"</f>
        <v>1994-12-05</v>
      </c>
    </row>
    <row r="822" spans="1:4" ht="15.75" customHeight="1" x14ac:dyDescent="0.2">
      <c r="A822" s="2" t="s">
        <v>36</v>
      </c>
      <c r="B822" s="2" t="str">
        <f>"田晓凡"</f>
        <v>田晓凡</v>
      </c>
      <c r="C822" s="2" t="str">
        <f>"女"</f>
        <v>女</v>
      </c>
      <c r="D822" s="2" t="str">
        <f>"1995-11-09"</f>
        <v>1995-11-09</v>
      </c>
    </row>
    <row r="823" spans="1:4" ht="15.75" customHeight="1" x14ac:dyDescent="0.2">
      <c r="A823" s="2" t="s">
        <v>17</v>
      </c>
      <c r="B823" s="2" t="str">
        <f>"陈颖"</f>
        <v>陈颖</v>
      </c>
      <c r="C823" s="2" t="str">
        <f>"女"</f>
        <v>女</v>
      </c>
      <c r="D823" s="2" t="str">
        <f>"1996-02-13"</f>
        <v>1996-02-13</v>
      </c>
    </row>
    <row r="824" spans="1:4" ht="15.75" customHeight="1" x14ac:dyDescent="0.2">
      <c r="A824" s="2" t="s">
        <v>74</v>
      </c>
      <c r="B824" s="2" t="str">
        <f>"钱程"</f>
        <v>钱程</v>
      </c>
      <c r="C824" s="2" t="str">
        <f>"男"</f>
        <v>男</v>
      </c>
      <c r="D824" s="2" t="str">
        <f>"1996-08-01"</f>
        <v>1996-08-01</v>
      </c>
    </row>
    <row r="825" spans="1:4" ht="15.75" customHeight="1" x14ac:dyDescent="0.2">
      <c r="A825" s="2" t="s">
        <v>63</v>
      </c>
      <c r="B825" s="2" t="str">
        <f>"朱芳菊"</f>
        <v>朱芳菊</v>
      </c>
      <c r="C825" s="2" t="str">
        <f>"女"</f>
        <v>女</v>
      </c>
      <c r="D825" s="2" t="str">
        <f>"1986-09-09"</f>
        <v>1986-09-09</v>
      </c>
    </row>
    <row r="826" spans="1:4" ht="15.75" customHeight="1" x14ac:dyDescent="0.2">
      <c r="A826" s="2" t="s">
        <v>8</v>
      </c>
      <c r="B826" s="2" t="str">
        <f>"余松蒲"</f>
        <v>余松蒲</v>
      </c>
      <c r="C826" s="2" t="str">
        <f>"男"</f>
        <v>男</v>
      </c>
      <c r="D826" s="2" t="str">
        <f>"1991-08-01"</f>
        <v>1991-08-01</v>
      </c>
    </row>
    <row r="827" spans="1:4" ht="15.75" customHeight="1" x14ac:dyDescent="0.2">
      <c r="A827" s="2" t="s">
        <v>41</v>
      </c>
      <c r="B827" s="2" t="str">
        <f>"于榕"</f>
        <v>于榕</v>
      </c>
      <c r="C827" s="2" t="str">
        <f>"女"</f>
        <v>女</v>
      </c>
      <c r="D827" s="2" t="str">
        <f>"1997-03-12"</f>
        <v>1997-03-12</v>
      </c>
    </row>
    <row r="828" spans="1:4" ht="15.75" customHeight="1" x14ac:dyDescent="0.2">
      <c r="A828" s="2" t="s">
        <v>51</v>
      </c>
      <c r="B828" s="2" t="str">
        <f>"文铭"</f>
        <v>文铭</v>
      </c>
      <c r="C828" s="2" t="str">
        <f>"男"</f>
        <v>男</v>
      </c>
      <c r="D828" s="2" t="str">
        <f>"1996-11-10"</f>
        <v>1996-11-10</v>
      </c>
    </row>
    <row r="829" spans="1:4" ht="15.75" customHeight="1" x14ac:dyDescent="0.2">
      <c r="A829" s="2" t="s">
        <v>13</v>
      </c>
      <c r="B829" s="2" t="str">
        <f>"郑惠宁"</f>
        <v>郑惠宁</v>
      </c>
      <c r="C829" s="2" t="str">
        <f>"女"</f>
        <v>女</v>
      </c>
      <c r="D829" s="2" t="str">
        <f>"1999-02-26"</f>
        <v>1999-02-26</v>
      </c>
    </row>
    <row r="830" spans="1:4" ht="15.75" customHeight="1" x14ac:dyDescent="0.2">
      <c r="A830" s="2" t="s">
        <v>52</v>
      </c>
      <c r="B830" s="2" t="str">
        <f>"李盈盈"</f>
        <v>李盈盈</v>
      </c>
      <c r="C830" s="2" t="str">
        <f>"女"</f>
        <v>女</v>
      </c>
      <c r="D830" s="2" t="str">
        <f>"1990-11-22"</f>
        <v>1990-11-22</v>
      </c>
    </row>
    <row r="831" spans="1:4" ht="15.75" customHeight="1" x14ac:dyDescent="0.2">
      <c r="A831" s="2" t="s">
        <v>61</v>
      </c>
      <c r="B831" s="2" t="str">
        <f>"张洁"</f>
        <v>张洁</v>
      </c>
      <c r="C831" s="2" t="str">
        <f>"女"</f>
        <v>女</v>
      </c>
      <c r="D831" s="2" t="str">
        <f>"1998-01-08"</f>
        <v>1998-01-08</v>
      </c>
    </row>
    <row r="832" spans="1:4" ht="15.75" customHeight="1" x14ac:dyDescent="0.2">
      <c r="A832" s="2" t="s">
        <v>46</v>
      </c>
      <c r="B832" s="2" t="str">
        <f>"谢立智"</f>
        <v>谢立智</v>
      </c>
      <c r="C832" s="2" t="str">
        <f>"女"</f>
        <v>女</v>
      </c>
      <c r="D832" s="2" t="str">
        <f>"1988-05-25"</f>
        <v>1988-05-25</v>
      </c>
    </row>
    <row r="833" spans="1:4" ht="15.75" customHeight="1" x14ac:dyDescent="0.2">
      <c r="A833" s="2" t="s">
        <v>58</v>
      </c>
      <c r="B833" s="2" t="str">
        <f>"叶璇子"</f>
        <v>叶璇子</v>
      </c>
      <c r="C833" s="2" t="str">
        <f>"女"</f>
        <v>女</v>
      </c>
      <c r="D833" s="2" t="str">
        <f>"1998-10-08"</f>
        <v>1998-10-08</v>
      </c>
    </row>
    <row r="834" spans="1:4" ht="15.75" customHeight="1" x14ac:dyDescent="0.2">
      <c r="A834" s="2" t="s">
        <v>63</v>
      </c>
      <c r="B834" s="2" t="str">
        <f>"吴卓沛"</f>
        <v>吴卓沛</v>
      </c>
      <c r="C834" s="2" t="str">
        <f>"男"</f>
        <v>男</v>
      </c>
      <c r="D834" s="2" t="str">
        <f>"1992-06-06"</f>
        <v>1992-06-06</v>
      </c>
    </row>
    <row r="835" spans="1:4" ht="15.75" customHeight="1" x14ac:dyDescent="0.2">
      <c r="A835" s="2" t="s">
        <v>57</v>
      </c>
      <c r="B835" s="2" t="str">
        <f>"王代欣"</f>
        <v>王代欣</v>
      </c>
      <c r="C835" s="2" t="str">
        <f>"女"</f>
        <v>女</v>
      </c>
      <c r="D835" s="2" t="str">
        <f>"2000-01-28"</f>
        <v>2000-01-28</v>
      </c>
    </row>
    <row r="836" spans="1:4" ht="15.75" customHeight="1" x14ac:dyDescent="0.2">
      <c r="A836" s="2" t="s">
        <v>30</v>
      </c>
      <c r="B836" s="2" t="str">
        <f>"钟诚"</f>
        <v>钟诚</v>
      </c>
      <c r="C836" s="2" t="str">
        <f>"男"</f>
        <v>男</v>
      </c>
      <c r="D836" s="2" t="str">
        <f>"1989-11-05"</f>
        <v>1989-11-05</v>
      </c>
    </row>
    <row r="837" spans="1:4" ht="15.75" customHeight="1" x14ac:dyDescent="0.2">
      <c r="A837" s="2" t="s">
        <v>18</v>
      </c>
      <c r="B837" s="2" t="str">
        <f>"符博君"</f>
        <v>符博君</v>
      </c>
      <c r="C837" s="2" t="str">
        <f>"女"</f>
        <v>女</v>
      </c>
      <c r="D837" s="2" t="str">
        <f>"1999-03-11"</f>
        <v>1999-03-11</v>
      </c>
    </row>
    <row r="838" spans="1:4" ht="15.75" customHeight="1" x14ac:dyDescent="0.2">
      <c r="A838" s="2" t="s">
        <v>22</v>
      </c>
      <c r="B838" s="2" t="str">
        <f>"雷蒙"</f>
        <v>雷蒙</v>
      </c>
      <c r="C838" s="2" t="str">
        <f>"男"</f>
        <v>男</v>
      </c>
      <c r="D838" s="2" t="str">
        <f>"1994-12-10"</f>
        <v>1994-12-10</v>
      </c>
    </row>
    <row r="839" spans="1:4" ht="15.75" customHeight="1" x14ac:dyDescent="0.2">
      <c r="A839" s="2" t="s">
        <v>41</v>
      </c>
      <c r="B839" s="2" t="str">
        <f>"阮中伟"</f>
        <v>阮中伟</v>
      </c>
      <c r="C839" s="2" t="str">
        <f>"男"</f>
        <v>男</v>
      </c>
      <c r="D839" s="2" t="str">
        <f>"1996-07-19"</f>
        <v>1996-07-19</v>
      </c>
    </row>
    <row r="840" spans="1:4" ht="15.75" customHeight="1" x14ac:dyDescent="0.2">
      <c r="A840" s="2" t="s">
        <v>14</v>
      </c>
      <c r="B840" s="2" t="str">
        <f>"刘镇贵"</f>
        <v>刘镇贵</v>
      </c>
      <c r="C840" s="2" t="str">
        <f>"女"</f>
        <v>女</v>
      </c>
      <c r="D840" s="2" t="str">
        <f>"1993-06-02"</f>
        <v>1993-06-02</v>
      </c>
    </row>
    <row r="841" spans="1:4" ht="15.75" customHeight="1" x14ac:dyDescent="0.2">
      <c r="A841" s="2" t="s">
        <v>36</v>
      </c>
      <c r="B841" s="2" t="str">
        <f>"李颖英"</f>
        <v>李颖英</v>
      </c>
      <c r="C841" s="2" t="str">
        <f>"女"</f>
        <v>女</v>
      </c>
      <c r="D841" s="2" t="str">
        <f>"1991-10-24"</f>
        <v>1991-10-24</v>
      </c>
    </row>
    <row r="842" spans="1:4" ht="15.75" customHeight="1" x14ac:dyDescent="0.2">
      <c r="A842" s="2" t="s">
        <v>48</v>
      </c>
      <c r="B842" s="2" t="str">
        <f>"田鹏飞"</f>
        <v>田鹏飞</v>
      </c>
      <c r="C842" s="2" t="str">
        <f>"男"</f>
        <v>男</v>
      </c>
      <c r="D842" s="2" t="str">
        <f>"1986-01-02"</f>
        <v>1986-01-02</v>
      </c>
    </row>
    <row r="843" spans="1:4" ht="15.75" customHeight="1" x14ac:dyDescent="0.2">
      <c r="A843" s="2" t="s">
        <v>56</v>
      </c>
      <c r="B843" s="2" t="str">
        <f>"龙珍"</f>
        <v>龙珍</v>
      </c>
      <c r="C843" s="2" t="str">
        <f>"女"</f>
        <v>女</v>
      </c>
      <c r="D843" s="2" t="str">
        <f>"1991-11-16"</f>
        <v>1991-11-16</v>
      </c>
    </row>
    <row r="844" spans="1:4" ht="15.75" customHeight="1" x14ac:dyDescent="0.2">
      <c r="A844" s="2" t="s">
        <v>8</v>
      </c>
      <c r="B844" s="2" t="str">
        <f>"孙田明"</f>
        <v>孙田明</v>
      </c>
      <c r="C844" s="2" t="str">
        <f>"男"</f>
        <v>男</v>
      </c>
      <c r="D844" s="2" t="str">
        <f>"1993-04-05"</f>
        <v>1993-04-05</v>
      </c>
    </row>
    <row r="845" spans="1:4" ht="15.75" customHeight="1" x14ac:dyDescent="0.2">
      <c r="A845" s="2" t="s">
        <v>28</v>
      </c>
      <c r="B845" s="2" t="str">
        <f>"刘杰文"</f>
        <v>刘杰文</v>
      </c>
      <c r="C845" s="2" t="str">
        <f>"男"</f>
        <v>男</v>
      </c>
      <c r="D845" s="2" t="str">
        <f>"1995-12-09"</f>
        <v>1995-12-09</v>
      </c>
    </row>
    <row r="846" spans="1:4" ht="15.75" customHeight="1" x14ac:dyDescent="0.2">
      <c r="A846" s="2" t="s">
        <v>8</v>
      </c>
      <c r="B846" s="2" t="str">
        <f>"陈婷"</f>
        <v>陈婷</v>
      </c>
      <c r="C846" s="2" t="str">
        <f>"女"</f>
        <v>女</v>
      </c>
      <c r="D846" s="2" t="str">
        <f>"1997-10-11"</f>
        <v>1997-10-11</v>
      </c>
    </row>
    <row r="847" spans="1:4" ht="15.75" customHeight="1" x14ac:dyDescent="0.2">
      <c r="A847" s="2" t="s">
        <v>5</v>
      </c>
      <c r="B847" s="2" t="str">
        <f>"刘迪芬"</f>
        <v>刘迪芬</v>
      </c>
      <c r="C847" s="2" t="str">
        <f>"女"</f>
        <v>女</v>
      </c>
      <c r="D847" s="2" t="str">
        <f>"1995-09-19"</f>
        <v>1995-09-19</v>
      </c>
    </row>
    <row r="848" spans="1:4" ht="15.75" customHeight="1" x14ac:dyDescent="0.2">
      <c r="A848" s="2" t="s">
        <v>34</v>
      </c>
      <c r="B848" s="2" t="str">
        <f>"谭新宇"</f>
        <v>谭新宇</v>
      </c>
      <c r="C848" s="2" t="str">
        <f>"男"</f>
        <v>男</v>
      </c>
      <c r="D848" s="2" t="str">
        <f>"1997-10-13"</f>
        <v>1997-10-13</v>
      </c>
    </row>
    <row r="849" spans="1:4" ht="15.75" customHeight="1" x14ac:dyDescent="0.2">
      <c r="A849" s="2" t="s">
        <v>20</v>
      </c>
      <c r="B849" s="2" t="str">
        <f>"李婷"</f>
        <v>李婷</v>
      </c>
      <c r="C849" s="2" t="str">
        <f t="shared" ref="C849:C859" si="16">"女"</f>
        <v>女</v>
      </c>
      <c r="D849" s="2" t="str">
        <f>"1997-02-05"</f>
        <v>1997-02-05</v>
      </c>
    </row>
    <row r="850" spans="1:4" ht="15.75" customHeight="1" x14ac:dyDescent="0.2">
      <c r="A850" s="2" t="s">
        <v>43</v>
      </c>
      <c r="B850" s="2" t="str">
        <f>"张梦瑶"</f>
        <v>张梦瑶</v>
      </c>
      <c r="C850" s="2" t="str">
        <f t="shared" si="16"/>
        <v>女</v>
      </c>
      <c r="D850" s="2" t="str">
        <f>"1997-12-05"</f>
        <v>1997-12-05</v>
      </c>
    </row>
    <row r="851" spans="1:4" ht="15.75" customHeight="1" x14ac:dyDescent="0.2">
      <c r="A851" s="2" t="s">
        <v>8</v>
      </c>
      <c r="B851" s="2" t="str">
        <f>"李珑丹"</f>
        <v>李珑丹</v>
      </c>
      <c r="C851" s="2" t="str">
        <f t="shared" si="16"/>
        <v>女</v>
      </c>
      <c r="D851" s="2" t="str">
        <f>"2000-02-24"</f>
        <v>2000-02-24</v>
      </c>
    </row>
    <row r="852" spans="1:4" ht="15.75" customHeight="1" x14ac:dyDescent="0.2">
      <c r="A852" s="2" t="s">
        <v>28</v>
      </c>
      <c r="B852" s="2" t="str">
        <f>"陈芸芸"</f>
        <v>陈芸芸</v>
      </c>
      <c r="C852" s="2" t="str">
        <f t="shared" si="16"/>
        <v>女</v>
      </c>
      <c r="D852" s="2" t="str">
        <f>"1995-09-01"</f>
        <v>1995-09-01</v>
      </c>
    </row>
    <row r="853" spans="1:4" ht="15.75" customHeight="1" x14ac:dyDescent="0.2">
      <c r="A853" s="2" t="s">
        <v>13</v>
      </c>
      <c r="B853" s="2" t="str">
        <f>"姚丹"</f>
        <v>姚丹</v>
      </c>
      <c r="C853" s="2" t="str">
        <f t="shared" si="16"/>
        <v>女</v>
      </c>
      <c r="D853" s="2" t="str">
        <f>"1986-11-19"</f>
        <v>1986-11-19</v>
      </c>
    </row>
    <row r="854" spans="1:4" ht="15.75" customHeight="1" x14ac:dyDescent="0.2">
      <c r="A854" s="2" t="s">
        <v>31</v>
      </c>
      <c r="B854" s="2" t="str">
        <f>"杨静琳"</f>
        <v>杨静琳</v>
      </c>
      <c r="C854" s="2" t="str">
        <f t="shared" si="16"/>
        <v>女</v>
      </c>
      <c r="D854" s="2" t="str">
        <f>"1996-07-20"</f>
        <v>1996-07-20</v>
      </c>
    </row>
    <row r="855" spans="1:4" ht="15.75" customHeight="1" x14ac:dyDescent="0.2">
      <c r="A855" s="2" t="s">
        <v>28</v>
      </c>
      <c r="B855" s="2" t="str">
        <f>"杨安琪"</f>
        <v>杨安琪</v>
      </c>
      <c r="C855" s="2" t="str">
        <f t="shared" si="16"/>
        <v>女</v>
      </c>
      <c r="D855" s="2" t="str">
        <f>"1991-08-05"</f>
        <v>1991-08-05</v>
      </c>
    </row>
    <row r="856" spans="1:4" ht="15.75" customHeight="1" x14ac:dyDescent="0.2">
      <c r="A856" s="2" t="s">
        <v>74</v>
      </c>
      <c r="B856" s="2" t="str">
        <f>"廖青草"</f>
        <v>廖青草</v>
      </c>
      <c r="C856" s="2" t="str">
        <f t="shared" si="16"/>
        <v>女</v>
      </c>
      <c r="D856" s="2" t="str">
        <f>"1998-12-30"</f>
        <v>1998-12-30</v>
      </c>
    </row>
    <row r="857" spans="1:4" ht="15.75" customHeight="1" x14ac:dyDescent="0.2">
      <c r="A857" s="2" t="s">
        <v>58</v>
      </c>
      <c r="B857" s="2" t="str">
        <f>"曾迪"</f>
        <v>曾迪</v>
      </c>
      <c r="C857" s="2" t="str">
        <f t="shared" si="16"/>
        <v>女</v>
      </c>
      <c r="D857" s="2" t="str">
        <f>"1994-05-23"</f>
        <v>1994-05-23</v>
      </c>
    </row>
    <row r="858" spans="1:4" ht="15.75" customHeight="1" x14ac:dyDescent="0.2">
      <c r="A858" s="2" t="s">
        <v>58</v>
      </c>
      <c r="B858" s="2" t="str">
        <f>"谭铭"</f>
        <v>谭铭</v>
      </c>
      <c r="C858" s="2" t="str">
        <f t="shared" si="16"/>
        <v>女</v>
      </c>
      <c r="D858" s="2" t="str">
        <f>"1998-02-28"</f>
        <v>1998-02-28</v>
      </c>
    </row>
    <row r="859" spans="1:4" ht="15.75" customHeight="1" x14ac:dyDescent="0.2">
      <c r="A859" s="2" t="s">
        <v>12</v>
      </c>
      <c r="B859" s="2" t="str">
        <f>"温黎珊"</f>
        <v>温黎珊</v>
      </c>
      <c r="C859" s="2" t="str">
        <f t="shared" si="16"/>
        <v>女</v>
      </c>
      <c r="D859" s="2" t="str">
        <f>"1987-01-29"</f>
        <v>1987-01-29</v>
      </c>
    </row>
    <row r="860" spans="1:4" ht="15.75" customHeight="1" x14ac:dyDescent="0.2">
      <c r="A860" s="2" t="s">
        <v>24</v>
      </c>
      <c r="B860" s="2" t="str">
        <f>"欧阳明庄"</f>
        <v>欧阳明庄</v>
      </c>
      <c r="C860" s="2" t="str">
        <f>"男"</f>
        <v>男</v>
      </c>
      <c r="D860" s="2" t="str">
        <f>"1996-09-11"</f>
        <v>1996-09-11</v>
      </c>
    </row>
    <row r="861" spans="1:4" ht="15.75" customHeight="1" x14ac:dyDescent="0.2">
      <c r="A861" s="2" t="s">
        <v>61</v>
      </c>
      <c r="B861" s="2" t="str">
        <f>"袁林琴"</f>
        <v>袁林琴</v>
      </c>
      <c r="C861" s="2" t="str">
        <f>"女"</f>
        <v>女</v>
      </c>
      <c r="D861" s="2" t="str">
        <f>"1996-10-09"</f>
        <v>1996-10-09</v>
      </c>
    </row>
    <row r="862" spans="1:4" ht="15.75" customHeight="1" x14ac:dyDescent="0.2">
      <c r="A862" s="2" t="s">
        <v>22</v>
      </c>
      <c r="B862" s="2" t="str">
        <f>"杜湘凝"</f>
        <v>杜湘凝</v>
      </c>
      <c r="C862" s="2" t="str">
        <f>"女"</f>
        <v>女</v>
      </c>
      <c r="D862" s="2" t="str">
        <f>"1995-12-19"</f>
        <v>1995-12-19</v>
      </c>
    </row>
    <row r="863" spans="1:4" ht="15.75" customHeight="1" x14ac:dyDescent="0.2">
      <c r="A863" s="2" t="s">
        <v>65</v>
      </c>
      <c r="B863" s="2" t="str">
        <f>"黄敏"</f>
        <v>黄敏</v>
      </c>
      <c r="C863" s="2" t="str">
        <f>"男"</f>
        <v>男</v>
      </c>
      <c r="D863" s="2" t="str">
        <f>"1988-04-18"</f>
        <v>1988-04-18</v>
      </c>
    </row>
    <row r="864" spans="1:4" ht="15.75" customHeight="1" x14ac:dyDescent="0.2">
      <c r="A864" s="2" t="s">
        <v>16</v>
      </c>
      <c r="B864" s="2" t="str">
        <f>"陈程"</f>
        <v>陈程</v>
      </c>
      <c r="C864" s="2" t="str">
        <f>"女"</f>
        <v>女</v>
      </c>
      <c r="D864" s="2" t="str">
        <f>"1995-04-29"</f>
        <v>1995-04-29</v>
      </c>
    </row>
    <row r="865" spans="1:4" ht="15.75" customHeight="1" x14ac:dyDescent="0.2">
      <c r="A865" s="2" t="s">
        <v>14</v>
      </c>
      <c r="B865" s="2" t="str">
        <f>"罗澧洋"</f>
        <v>罗澧洋</v>
      </c>
      <c r="C865" s="2" t="str">
        <f>"男"</f>
        <v>男</v>
      </c>
      <c r="D865" s="2" t="str">
        <f>"1998-08-18"</f>
        <v>1998-08-18</v>
      </c>
    </row>
    <row r="866" spans="1:4" ht="15.75" customHeight="1" x14ac:dyDescent="0.2">
      <c r="A866" s="2" t="s">
        <v>61</v>
      </c>
      <c r="B866" s="2" t="str">
        <f>"成芝攀"</f>
        <v>成芝攀</v>
      </c>
      <c r="C866" s="2" t="str">
        <f>"女"</f>
        <v>女</v>
      </c>
      <c r="D866" s="2" t="str">
        <f>"1997-12-22"</f>
        <v>1997-12-22</v>
      </c>
    </row>
    <row r="867" spans="1:4" ht="15.75" customHeight="1" x14ac:dyDescent="0.2">
      <c r="A867" s="2" t="s">
        <v>8</v>
      </c>
      <c r="B867" s="2" t="str">
        <f>"简启亮"</f>
        <v>简启亮</v>
      </c>
      <c r="C867" s="2" t="str">
        <f>"男"</f>
        <v>男</v>
      </c>
      <c r="D867" s="2" t="str">
        <f>"1996-05-10"</f>
        <v>1996-05-10</v>
      </c>
    </row>
    <row r="868" spans="1:4" ht="15.75" customHeight="1" x14ac:dyDescent="0.2">
      <c r="A868" s="2" t="s">
        <v>61</v>
      </c>
      <c r="B868" s="2" t="str">
        <f>"王婷"</f>
        <v>王婷</v>
      </c>
      <c r="C868" s="2" t="str">
        <f>"女"</f>
        <v>女</v>
      </c>
      <c r="D868" s="2" t="str">
        <f>"1999-10-27"</f>
        <v>1999-10-27</v>
      </c>
    </row>
    <row r="869" spans="1:4" ht="15.75" customHeight="1" x14ac:dyDescent="0.2">
      <c r="A869" s="2" t="s">
        <v>61</v>
      </c>
      <c r="B869" s="2" t="str">
        <f>"龚晓芳"</f>
        <v>龚晓芳</v>
      </c>
      <c r="C869" s="2" t="str">
        <f>"女"</f>
        <v>女</v>
      </c>
      <c r="D869" s="2" t="str">
        <f>"1996-08-01"</f>
        <v>1996-08-01</v>
      </c>
    </row>
    <row r="870" spans="1:4" ht="15.75" customHeight="1" x14ac:dyDescent="0.2">
      <c r="A870" s="2" t="s">
        <v>35</v>
      </c>
      <c r="B870" s="2" t="str">
        <f>"伍孟瑶"</f>
        <v>伍孟瑶</v>
      </c>
      <c r="C870" s="2" t="str">
        <f>"女"</f>
        <v>女</v>
      </c>
      <c r="D870" s="2" t="str">
        <f>"1999-08-28"</f>
        <v>1999-08-28</v>
      </c>
    </row>
    <row r="871" spans="1:4" ht="15.75" customHeight="1" x14ac:dyDescent="0.2">
      <c r="A871" s="2" t="s">
        <v>42</v>
      </c>
      <c r="B871" s="2" t="str">
        <f>"任元王"</f>
        <v>任元王</v>
      </c>
      <c r="C871" s="2" t="str">
        <f>"男"</f>
        <v>男</v>
      </c>
      <c r="D871" s="2" t="str">
        <f>"1992-05-25"</f>
        <v>1992-05-25</v>
      </c>
    </row>
    <row r="872" spans="1:4" ht="15.75" customHeight="1" x14ac:dyDescent="0.2">
      <c r="A872" s="2" t="s">
        <v>41</v>
      </c>
      <c r="B872" s="2" t="str">
        <f>"唐展"</f>
        <v>唐展</v>
      </c>
      <c r="C872" s="2" t="str">
        <f>"男"</f>
        <v>男</v>
      </c>
      <c r="D872" s="2" t="str">
        <f>"1996-09-12"</f>
        <v>1996-09-12</v>
      </c>
    </row>
    <row r="873" spans="1:4" ht="15.75" customHeight="1" x14ac:dyDescent="0.2">
      <c r="A873" s="2" t="s">
        <v>50</v>
      </c>
      <c r="B873" s="2" t="str">
        <f>"唐豆豆"</f>
        <v>唐豆豆</v>
      </c>
      <c r="C873" s="2" t="str">
        <f>"女"</f>
        <v>女</v>
      </c>
      <c r="D873" s="2" t="str">
        <f>"1995-12-06"</f>
        <v>1995-12-06</v>
      </c>
    </row>
    <row r="874" spans="1:4" ht="15.75" customHeight="1" x14ac:dyDescent="0.2">
      <c r="A874" s="2" t="s">
        <v>28</v>
      </c>
      <c r="B874" s="2" t="str">
        <f>"张淋"</f>
        <v>张淋</v>
      </c>
      <c r="C874" s="2" t="str">
        <f>"女"</f>
        <v>女</v>
      </c>
      <c r="D874" s="2" t="str">
        <f>"1997-08-16"</f>
        <v>1997-08-16</v>
      </c>
    </row>
    <row r="875" spans="1:4" ht="15.75" customHeight="1" x14ac:dyDescent="0.2">
      <c r="A875" s="2" t="s">
        <v>61</v>
      </c>
      <c r="B875" s="2" t="str">
        <f>"刘亮"</f>
        <v>刘亮</v>
      </c>
      <c r="C875" s="2" t="str">
        <f>"男"</f>
        <v>男</v>
      </c>
      <c r="D875" s="2" t="str">
        <f>"1997-11-04"</f>
        <v>1997-11-04</v>
      </c>
    </row>
    <row r="876" spans="1:4" ht="15.75" customHeight="1" x14ac:dyDescent="0.2">
      <c r="A876" s="2" t="s">
        <v>24</v>
      </c>
      <c r="B876" s="2" t="str">
        <f>"龙名杨"</f>
        <v>龙名杨</v>
      </c>
      <c r="C876" s="2" t="str">
        <f>"男"</f>
        <v>男</v>
      </c>
      <c r="D876" s="2" t="str">
        <f>"1995-03-29"</f>
        <v>1995-03-29</v>
      </c>
    </row>
    <row r="877" spans="1:4" ht="15.75" customHeight="1" x14ac:dyDescent="0.2">
      <c r="A877" s="2" t="s">
        <v>59</v>
      </c>
      <c r="B877" s="2" t="str">
        <f>"刘思源"</f>
        <v>刘思源</v>
      </c>
      <c r="C877" s="2" t="str">
        <f>"女"</f>
        <v>女</v>
      </c>
      <c r="D877" s="2" t="str">
        <f>"2000-07-18"</f>
        <v>2000-07-18</v>
      </c>
    </row>
    <row r="878" spans="1:4" ht="15.75" customHeight="1" x14ac:dyDescent="0.2">
      <c r="A878" s="2" t="s">
        <v>40</v>
      </c>
      <c r="B878" s="2" t="str">
        <f>"李玉"</f>
        <v>李玉</v>
      </c>
      <c r="C878" s="2" t="str">
        <f>"女"</f>
        <v>女</v>
      </c>
      <c r="D878" s="2" t="str">
        <f>"1994-12-21"</f>
        <v>1994-12-21</v>
      </c>
    </row>
    <row r="879" spans="1:4" ht="15.75" customHeight="1" x14ac:dyDescent="0.2">
      <c r="A879" s="2" t="s">
        <v>28</v>
      </c>
      <c r="B879" s="2" t="str">
        <f>"唐骞"</f>
        <v>唐骞</v>
      </c>
      <c r="C879" s="2" t="str">
        <f>"男"</f>
        <v>男</v>
      </c>
      <c r="D879" s="2" t="str">
        <f>"1994-04-06"</f>
        <v>1994-04-06</v>
      </c>
    </row>
    <row r="880" spans="1:4" ht="15.75" customHeight="1" x14ac:dyDescent="0.2">
      <c r="A880" s="2" t="s">
        <v>63</v>
      </c>
      <c r="B880" s="2" t="str">
        <f>"李璐"</f>
        <v>李璐</v>
      </c>
      <c r="C880" s="2" t="str">
        <f>"女"</f>
        <v>女</v>
      </c>
      <c r="D880" s="2" t="str">
        <f>"1995-04-17"</f>
        <v>1995-04-17</v>
      </c>
    </row>
    <row r="881" spans="1:4" ht="15.75" customHeight="1" x14ac:dyDescent="0.2">
      <c r="A881" s="2" t="s">
        <v>16</v>
      </c>
      <c r="B881" s="2" t="str">
        <f>"谢晓峰"</f>
        <v>谢晓峰</v>
      </c>
      <c r="C881" s="2" t="str">
        <f>"男"</f>
        <v>男</v>
      </c>
      <c r="D881" s="2" t="str">
        <f>"1995-10-21"</f>
        <v>1995-10-21</v>
      </c>
    </row>
    <row r="882" spans="1:4" ht="15.75" customHeight="1" x14ac:dyDescent="0.2">
      <c r="A882" s="2" t="s">
        <v>37</v>
      </c>
      <c r="B882" s="2" t="str">
        <f>"宋奕宏"</f>
        <v>宋奕宏</v>
      </c>
      <c r="C882" s="2" t="str">
        <f>"男"</f>
        <v>男</v>
      </c>
      <c r="D882" s="2" t="str">
        <f>"1991-12-17"</f>
        <v>1991-12-17</v>
      </c>
    </row>
    <row r="883" spans="1:4" ht="15.75" customHeight="1" x14ac:dyDescent="0.2">
      <c r="A883" s="2" t="s">
        <v>72</v>
      </c>
      <c r="B883" s="2" t="str">
        <f>"黄鑫"</f>
        <v>黄鑫</v>
      </c>
      <c r="C883" s="2" t="str">
        <f>"男"</f>
        <v>男</v>
      </c>
      <c r="D883" s="2" t="str">
        <f>"1992-12-18"</f>
        <v>1992-12-18</v>
      </c>
    </row>
    <row r="884" spans="1:4" ht="15.75" customHeight="1" x14ac:dyDescent="0.2">
      <c r="A884" s="2" t="s">
        <v>52</v>
      </c>
      <c r="B884" s="2" t="str">
        <f>"张怡"</f>
        <v>张怡</v>
      </c>
      <c r="C884" s="2" t="str">
        <f>"女"</f>
        <v>女</v>
      </c>
      <c r="D884" s="2" t="str">
        <f>"1998-12-04"</f>
        <v>1998-12-04</v>
      </c>
    </row>
    <row r="885" spans="1:4" ht="15.75" customHeight="1" x14ac:dyDescent="0.2">
      <c r="A885" s="2" t="s">
        <v>8</v>
      </c>
      <c r="B885" s="2" t="str">
        <f>"左瑞"</f>
        <v>左瑞</v>
      </c>
      <c r="C885" s="2" t="str">
        <f>"女"</f>
        <v>女</v>
      </c>
      <c r="D885" s="2" t="str">
        <f>"1987-06-09"</f>
        <v>1987-06-09</v>
      </c>
    </row>
    <row r="886" spans="1:4" ht="15.75" customHeight="1" x14ac:dyDescent="0.2">
      <c r="A886" s="2" t="s">
        <v>5</v>
      </c>
      <c r="B886" s="2" t="str">
        <f>"庹璇"</f>
        <v>庹璇</v>
      </c>
      <c r="C886" s="2" t="str">
        <f>"男"</f>
        <v>男</v>
      </c>
      <c r="D886" s="2" t="str">
        <f>"1996-11-30"</f>
        <v>1996-11-30</v>
      </c>
    </row>
    <row r="887" spans="1:4" ht="15.75" customHeight="1" x14ac:dyDescent="0.2">
      <c r="A887" s="2" t="s">
        <v>44</v>
      </c>
      <c r="B887" s="2" t="str">
        <f>"曾毅"</f>
        <v>曾毅</v>
      </c>
      <c r="C887" s="2" t="str">
        <f>"男"</f>
        <v>男</v>
      </c>
      <c r="D887" s="2" t="str">
        <f>"1987-09-14"</f>
        <v>1987-09-14</v>
      </c>
    </row>
    <row r="888" spans="1:4" ht="15.75" customHeight="1" x14ac:dyDescent="0.2">
      <c r="A888" s="2" t="s">
        <v>58</v>
      </c>
      <c r="B888" s="2" t="str">
        <f>"李彦妮"</f>
        <v>李彦妮</v>
      </c>
      <c r="C888" s="2" t="str">
        <f>"女"</f>
        <v>女</v>
      </c>
      <c r="D888" s="2" t="str">
        <f>"1997-07-09"</f>
        <v>1997-07-09</v>
      </c>
    </row>
    <row r="889" spans="1:4" ht="15.75" customHeight="1" x14ac:dyDescent="0.2">
      <c r="A889" s="2" t="s">
        <v>13</v>
      </c>
      <c r="B889" s="2" t="str">
        <f>"黄光辉"</f>
        <v>黄光辉</v>
      </c>
      <c r="C889" s="2" t="str">
        <f>"男"</f>
        <v>男</v>
      </c>
      <c r="D889" s="2" t="str">
        <f>"1995-11-19"</f>
        <v>1995-11-19</v>
      </c>
    </row>
    <row r="890" spans="1:4" ht="15.75" customHeight="1" x14ac:dyDescent="0.2">
      <c r="A890" s="2" t="s">
        <v>29</v>
      </c>
      <c r="B890" s="2" t="str">
        <f>"蔡欣"</f>
        <v>蔡欣</v>
      </c>
      <c r="C890" s="2" t="str">
        <f>"男"</f>
        <v>男</v>
      </c>
      <c r="D890" s="2" t="str">
        <f>"1995-11-25"</f>
        <v>1995-11-25</v>
      </c>
    </row>
    <row r="891" spans="1:4" ht="15.75" customHeight="1" x14ac:dyDescent="0.2">
      <c r="A891" s="2" t="s">
        <v>56</v>
      </c>
      <c r="B891" s="2" t="str">
        <f>"吕巧兰"</f>
        <v>吕巧兰</v>
      </c>
      <c r="C891" s="2" t="str">
        <f>"女"</f>
        <v>女</v>
      </c>
      <c r="D891" s="2" t="str">
        <f>"1997-07-18"</f>
        <v>1997-07-18</v>
      </c>
    </row>
    <row r="892" spans="1:4" ht="15.75" customHeight="1" x14ac:dyDescent="0.2">
      <c r="A892" s="2" t="s">
        <v>6</v>
      </c>
      <c r="B892" s="2" t="str">
        <f>"朱莉"</f>
        <v>朱莉</v>
      </c>
      <c r="C892" s="2" t="str">
        <f>"女"</f>
        <v>女</v>
      </c>
      <c r="D892" s="2" t="str">
        <f>"1994-07-06"</f>
        <v>1994-07-06</v>
      </c>
    </row>
    <row r="893" spans="1:4" ht="15.75" customHeight="1" x14ac:dyDescent="0.2">
      <c r="A893" s="2" t="s">
        <v>7</v>
      </c>
      <c r="B893" s="2" t="str">
        <f>"龚政铭"</f>
        <v>龚政铭</v>
      </c>
      <c r="C893" s="2" t="str">
        <f>"男"</f>
        <v>男</v>
      </c>
      <c r="D893" s="2" t="str">
        <f>"1998-12-25"</f>
        <v>1998-12-25</v>
      </c>
    </row>
    <row r="894" spans="1:4" ht="15.75" customHeight="1" x14ac:dyDescent="0.2">
      <c r="A894" s="2" t="s">
        <v>24</v>
      </c>
      <c r="B894" s="2" t="str">
        <f>"娄静"</f>
        <v>娄静</v>
      </c>
      <c r="C894" s="2" t="str">
        <f>"女"</f>
        <v>女</v>
      </c>
      <c r="D894" s="2" t="str">
        <f>"1995-03-01"</f>
        <v>1995-03-01</v>
      </c>
    </row>
    <row r="895" spans="1:4" ht="15.75" customHeight="1" x14ac:dyDescent="0.2">
      <c r="A895" s="2" t="s">
        <v>42</v>
      </c>
      <c r="B895" s="2" t="str">
        <f>"曾宪龙"</f>
        <v>曾宪龙</v>
      </c>
      <c r="C895" s="2" t="str">
        <f>"男"</f>
        <v>男</v>
      </c>
      <c r="D895" s="2" t="str">
        <f>"1988-09-17"</f>
        <v>1988-09-17</v>
      </c>
    </row>
    <row r="896" spans="1:4" ht="15.75" customHeight="1" x14ac:dyDescent="0.2">
      <c r="A896" s="2" t="s">
        <v>15</v>
      </c>
      <c r="B896" s="2" t="str">
        <f>"杜新宇"</f>
        <v>杜新宇</v>
      </c>
      <c r="C896" s="2" t="str">
        <f>"男"</f>
        <v>男</v>
      </c>
      <c r="D896" s="2" t="str">
        <f>"1998-12-05"</f>
        <v>1998-12-05</v>
      </c>
    </row>
    <row r="897" spans="1:4" ht="15.75" customHeight="1" x14ac:dyDescent="0.2">
      <c r="A897" s="2" t="s">
        <v>8</v>
      </c>
      <c r="B897" s="2" t="str">
        <f>"袁子彪"</f>
        <v>袁子彪</v>
      </c>
      <c r="C897" s="2" t="str">
        <f>"男"</f>
        <v>男</v>
      </c>
      <c r="D897" s="2" t="str">
        <f>"1996-03-10"</f>
        <v>1996-03-10</v>
      </c>
    </row>
    <row r="898" spans="1:4" ht="15.75" customHeight="1" x14ac:dyDescent="0.2">
      <c r="A898" s="2" t="s">
        <v>28</v>
      </c>
      <c r="B898" s="2" t="str">
        <f>"李嘉懿"</f>
        <v>李嘉懿</v>
      </c>
      <c r="C898" s="2" t="str">
        <f>"男"</f>
        <v>男</v>
      </c>
      <c r="D898" s="2" t="str">
        <f>"1999-02-25"</f>
        <v>1999-02-25</v>
      </c>
    </row>
    <row r="899" spans="1:4" ht="15.75" customHeight="1" x14ac:dyDescent="0.2">
      <c r="A899" s="2" t="s">
        <v>59</v>
      </c>
      <c r="B899" s="2" t="str">
        <f>"唐敏"</f>
        <v>唐敏</v>
      </c>
      <c r="C899" s="2" t="str">
        <f>"女"</f>
        <v>女</v>
      </c>
      <c r="D899" s="2" t="str">
        <f>"1999-08-04"</f>
        <v>1999-08-04</v>
      </c>
    </row>
    <row r="900" spans="1:4" ht="15.75" customHeight="1" x14ac:dyDescent="0.2">
      <c r="A900" s="2" t="s">
        <v>29</v>
      </c>
      <c r="B900" s="2" t="str">
        <f>"黄锐"</f>
        <v>黄锐</v>
      </c>
      <c r="C900" s="2" t="str">
        <f>"女"</f>
        <v>女</v>
      </c>
      <c r="D900" s="2" t="str">
        <f>"1998-02-21"</f>
        <v>1998-02-21</v>
      </c>
    </row>
    <row r="901" spans="1:4" ht="15.75" customHeight="1" x14ac:dyDescent="0.2">
      <c r="A901" s="2" t="s">
        <v>28</v>
      </c>
      <c r="B901" s="2" t="str">
        <f>"彭莉莉"</f>
        <v>彭莉莉</v>
      </c>
      <c r="C901" s="2" t="str">
        <f>"女"</f>
        <v>女</v>
      </c>
      <c r="D901" s="2" t="str">
        <f>"1994-08-08"</f>
        <v>1994-08-08</v>
      </c>
    </row>
    <row r="902" spans="1:4" ht="15.75" customHeight="1" x14ac:dyDescent="0.2">
      <c r="A902" s="2" t="s">
        <v>58</v>
      </c>
      <c r="B902" s="2" t="str">
        <f>"彭嘉贝"</f>
        <v>彭嘉贝</v>
      </c>
      <c r="C902" s="2" t="str">
        <f>"女"</f>
        <v>女</v>
      </c>
      <c r="D902" s="2" t="str">
        <f>"1998-04-02"</f>
        <v>1998-04-02</v>
      </c>
    </row>
    <row r="903" spans="1:4" ht="15.75" customHeight="1" x14ac:dyDescent="0.2">
      <c r="A903" s="2" t="s">
        <v>61</v>
      </c>
      <c r="B903" s="2" t="str">
        <f>"陆子腾"</f>
        <v>陆子腾</v>
      </c>
      <c r="C903" s="2" t="str">
        <f>"男"</f>
        <v>男</v>
      </c>
      <c r="D903" s="2" t="str">
        <f>"1997-11-30"</f>
        <v>1997-11-30</v>
      </c>
    </row>
    <row r="904" spans="1:4" ht="15.75" customHeight="1" x14ac:dyDescent="0.2">
      <c r="A904" s="2" t="s">
        <v>15</v>
      </c>
      <c r="B904" s="2" t="str">
        <f>"金希"</f>
        <v>金希</v>
      </c>
      <c r="C904" s="2" t="str">
        <f>"女"</f>
        <v>女</v>
      </c>
      <c r="D904" s="2" t="str">
        <f>"1987-07-17"</f>
        <v>1987-07-17</v>
      </c>
    </row>
    <row r="905" spans="1:4" ht="15.75" customHeight="1" x14ac:dyDescent="0.2">
      <c r="A905" s="2" t="s">
        <v>20</v>
      </c>
      <c r="B905" s="2" t="str">
        <f>"姜子浩"</f>
        <v>姜子浩</v>
      </c>
      <c r="C905" s="2" t="str">
        <f>"男"</f>
        <v>男</v>
      </c>
      <c r="D905" s="2" t="str">
        <f>"1995-12-16"</f>
        <v>1995-12-16</v>
      </c>
    </row>
    <row r="906" spans="1:4" ht="15.75" customHeight="1" x14ac:dyDescent="0.2">
      <c r="A906" s="2" t="s">
        <v>71</v>
      </c>
      <c r="B906" s="2" t="str">
        <f>"何瑾"</f>
        <v>何瑾</v>
      </c>
      <c r="C906" s="2" t="str">
        <f>"女"</f>
        <v>女</v>
      </c>
      <c r="D906" s="2" t="str">
        <f>"2000-01-25"</f>
        <v>2000-01-25</v>
      </c>
    </row>
    <row r="907" spans="1:4" ht="15.75" customHeight="1" x14ac:dyDescent="0.2">
      <c r="A907" s="2" t="s">
        <v>13</v>
      </c>
      <c r="B907" s="2" t="str">
        <f>"韩清"</f>
        <v>韩清</v>
      </c>
      <c r="C907" s="2" t="str">
        <f>"女"</f>
        <v>女</v>
      </c>
      <c r="D907" s="2" t="str">
        <f>"1986-06-27"</f>
        <v>1986-06-27</v>
      </c>
    </row>
    <row r="908" spans="1:4" ht="15.75" customHeight="1" x14ac:dyDescent="0.2">
      <c r="A908" s="2" t="s">
        <v>36</v>
      </c>
      <c r="B908" s="2" t="str">
        <f>"刘婉婷"</f>
        <v>刘婉婷</v>
      </c>
      <c r="C908" s="2" t="str">
        <f>"女"</f>
        <v>女</v>
      </c>
      <c r="D908" s="2" t="str">
        <f>"1992-04-08"</f>
        <v>1992-04-08</v>
      </c>
    </row>
    <row r="909" spans="1:4" ht="15.75" customHeight="1" x14ac:dyDescent="0.2">
      <c r="A909" s="2" t="s">
        <v>23</v>
      </c>
      <c r="B909" s="2" t="str">
        <f>"田奇"</f>
        <v>田奇</v>
      </c>
      <c r="C909" s="2" t="str">
        <f>"男"</f>
        <v>男</v>
      </c>
      <c r="D909" s="2" t="str">
        <f>"1996-12-29"</f>
        <v>1996-12-29</v>
      </c>
    </row>
    <row r="910" spans="1:4" ht="15.75" customHeight="1" x14ac:dyDescent="0.2">
      <c r="A910" s="2" t="s">
        <v>52</v>
      </c>
      <c r="B910" s="2" t="str">
        <f>"谢少凯"</f>
        <v>谢少凯</v>
      </c>
      <c r="C910" s="2" t="str">
        <f>"男"</f>
        <v>男</v>
      </c>
      <c r="D910" s="2" t="str">
        <f>"1995-09-18"</f>
        <v>1995-09-18</v>
      </c>
    </row>
    <row r="911" spans="1:4" ht="15.75" customHeight="1" x14ac:dyDescent="0.2">
      <c r="A911" s="2" t="s">
        <v>16</v>
      </c>
      <c r="B911" s="2" t="str">
        <f>"唐著林"</f>
        <v>唐著林</v>
      </c>
      <c r="C911" s="2" t="str">
        <f>"男"</f>
        <v>男</v>
      </c>
      <c r="D911" s="2" t="str">
        <f>"1997-09-27"</f>
        <v>1997-09-27</v>
      </c>
    </row>
    <row r="912" spans="1:4" ht="15.75" customHeight="1" x14ac:dyDescent="0.2">
      <c r="A912" s="2" t="s">
        <v>54</v>
      </c>
      <c r="B912" s="2" t="str">
        <f>"张灿"</f>
        <v>张灿</v>
      </c>
      <c r="C912" s="2" t="str">
        <f>"男"</f>
        <v>男</v>
      </c>
      <c r="D912" s="2" t="str">
        <f>"1998-09-21"</f>
        <v>1998-09-21</v>
      </c>
    </row>
    <row r="913" spans="1:4" ht="15.75" customHeight="1" x14ac:dyDescent="0.2">
      <c r="A913" s="2" t="s">
        <v>22</v>
      </c>
      <c r="B913" s="2" t="str">
        <f>"沈卫华"</f>
        <v>沈卫华</v>
      </c>
      <c r="C913" s="2" t="str">
        <f>"女"</f>
        <v>女</v>
      </c>
      <c r="D913" s="2" t="str">
        <f>"1995-04-23"</f>
        <v>1995-04-23</v>
      </c>
    </row>
    <row r="914" spans="1:4" ht="15.75" customHeight="1" x14ac:dyDescent="0.2">
      <c r="A914" s="2" t="s">
        <v>32</v>
      </c>
      <c r="B914" s="2" t="str">
        <f>"石福民"</f>
        <v>石福民</v>
      </c>
      <c r="C914" s="2" t="str">
        <f>"男"</f>
        <v>男</v>
      </c>
      <c r="D914" s="2" t="str">
        <f>"1995-09-20"</f>
        <v>1995-09-20</v>
      </c>
    </row>
    <row r="915" spans="1:4" ht="15.75" customHeight="1" x14ac:dyDescent="0.2">
      <c r="A915" s="2" t="s">
        <v>4</v>
      </c>
      <c r="B915" s="2" t="str">
        <f>"张光超"</f>
        <v>张光超</v>
      </c>
      <c r="C915" s="2" t="str">
        <f>"男"</f>
        <v>男</v>
      </c>
      <c r="D915" s="2" t="str">
        <f>"1996-09-19"</f>
        <v>1996-09-19</v>
      </c>
    </row>
    <row r="916" spans="1:4" ht="15.75" customHeight="1" x14ac:dyDescent="0.2">
      <c r="A916" s="2" t="s">
        <v>5</v>
      </c>
      <c r="B916" s="2" t="str">
        <f>"王球球"</f>
        <v>王球球</v>
      </c>
      <c r="C916" s="2" t="str">
        <f>"女"</f>
        <v>女</v>
      </c>
      <c r="D916" s="2" t="str">
        <f>"1995-02-06"</f>
        <v>1995-02-06</v>
      </c>
    </row>
    <row r="917" spans="1:4" ht="15.75" customHeight="1" x14ac:dyDescent="0.2">
      <c r="A917" s="2" t="s">
        <v>9</v>
      </c>
      <c r="B917" s="2" t="str">
        <f>"毛舒凡"</f>
        <v>毛舒凡</v>
      </c>
      <c r="C917" s="2" t="str">
        <f>"女"</f>
        <v>女</v>
      </c>
      <c r="D917" s="2" t="str">
        <f>"1996-09-13"</f>
        <v>1996-09-13</v>
      </c>
    </row>
    <row r="918" spans="1:4" ht="15.75" customHeight="1" x14ac:dyDescent="0.2">
      <c r="A918" s="2" t="s">
        <v>8</v>
      </c>
      <c r="B918" s="2" t="str">
        <f>"詹钦淼"</f>
        <v>詹钦淼</v>
      </c>
      <c r="C918" s="2" t="str">
        <f>"女"</f>
        <v>女</v>
      </c>
      <c r="D918" s="2" t="str">
        <f>"1996-04-22"</f>
        <v>1996-04-22</v>
      </c>
    </row>
    <row r="919" spans="1:4" ht="15.75" customHeight="1" x14ac:dyDescent="0.2">
      <c r="A919" s="2" t="s">
        <v>58</v>
      </c>
      <c r="B919" s="2" t="str">
        <f>"郭奥雪"</f>
        <v>郭奥雪</v>
      </c>
      <c r="C919" s="2" t="str">
        <f>"女"</f>
        <v>女</v>
      </c>
      <c r="D919" s="2" t="str">
        <f>"1999-12-18"</f>
        <v>1999-12-18</v>
      </c>
    </row>
    <row r="920" spans="1:4" ht="15.75" customHeight="1" x14ac:dyDescent="0.2">
      <c r="A920" s="2" t="s">
        <v>24</v>
      </c>
      <c r="B920" s="2" t="str">
        <f>"刘遥"</f>
        <v>刘遥</v>
      </c>
      <c r="C920" s="2" t="str">
        <f>"女"</f>
        <v>女</v>
      </c>
      <c r="D920" s="2" t="str">
        <f>"1997-02-25"</f>
        <v>1997-02-25</v>
      </c>
    </row>
    <row r="921" spans="1:4" ht="15.75" customHeight="1" x14ac:dyDescent="0.2">
      <c r="A921" s="2" t="s">
        <v>44</v>
      </c>
      <c r="B921" s="2" t="str">
        <f>"王刚"</f>
        <v>王刚</v>
      </c>
      <c r="C921" s="2" t="str">
        <f>"男"</f>
        <v>男</v>
      </c>
      <c r="D921" s="2" t="str">
        <f>"1990-11-17"</f>
        <v>1990-11-17</v>
      </c>
    </row>
    <row r="922" spans="1:4" ht="15.75" customHeight="1" x14ac:dyDescent="0.2">
      <c r="A922" s="2" t="s">
        <v>68</v>
      </c>
      <c r="B922" s="2" t="str">
        <f>"辛辉"</f>
        <v>辛辉</v>
      </c>
      <c r="C922" s="2" t="str">
        <f>"女"</f>
        <v>女</v>
      </c>
      <c r="D922" s="2" t="str">
        <f>"1992-09-06"</f>
        <v>1992-09-06</v>
      </c>
    </row>
    <row r="923" spans="1:4" ht="15.75" customHeight="1" x14ac:dyDescent="0.2">
      <c r="A923" s="2" t="s">
        <v>28</v>
      </c>
      <c r="B923" s="2" t="str">
        <f>"朱红业"</f>
        <v>朱红业</v>
      </c>
      <c r="C923" s="2" t="str">
        <f>"女"</f>
        <v>女</v>
      </c>
      <c r="D923" s="2" t="str">
        <f>"1991-06-22"</f>
        <v>1991-06-22</v>
      </c>
    </row>
    <row r="924" spans="1:4" ht="15.75" customHeight="1" x14ac:dyDescent="0.2">
      <c r="A924" s="2" t="s">
        <v>73</v>
      </c>
      <c r="B924" s="2" t="str">
        <f>"李星"</f>
        <v>李星</v>
      </c>
      <c r="C924" s="2" t="str">
        <f>"女"</f>
        <v>女</v>
      </c>
      <c r="D924" s="2" t="str">
        <f>"1994-07-16"</f>
        <v>1994-07-16</v>
      </c>
    </row>
    <row r="925" spans="1:4" ht="15.75" customHeight="1" x14ac:dyDescent="0.2">
      <c r="A925" s="2" t="s">
        <v>70</v>
      </c>
      <c r="B925" s="2" t="str">
        <f>"樊庶州"</f>
        <v>樊庶州</v>
      </c>
      <c r="C925" s="2" t="str">
        <f>"男"</f>
        <v>男</v>
      </c>
      <c r="D925" s="2" t="str">
        <f>"1987-09-07"</f>
        <v>1987-09-07</v>
      </c>
    </row>
    <row r="926" spans="1:4" ht="15.75" customHeight="1" x14ac:dyDescent="0.2">
      <c r="A926" s="2" t="s">
        <v>12</v>
      </c>
      <c r="B926" s="2" t="str">
        <f>"欧婷"</f>
        <v>欧婷</v>
      </c>
      <c r="C926" s="2" t="str">
        <f>"女"</f>
        <v>女</v>
      </c>
      <c r="D926" s="2" t="str">
        <f>"1992-08-16"</f>
        <v>1992-08-16</v>
      </c>
    </row>
    <row r="927" spans="1:4" ht="15.75" customHeight="1" x14ac:dyDescent="0.2">
      <c r="A927" s="2" t="s">
        <v>50</v>
      </c>
      <c r="B927" s="2" t="str">
        <f>"周杰"</f>
        <v>周杰</v>
      </c>
      <c r="C927" s="2" t="str">
        <f>"男"</f>
        <v>男</v>
      </c>
      <c r="D927" s="2" t="str">
        <f>"1998-07-10"</f>
        <v>1998-07-10</v>
      </c>
    </row>
    <row r="928" spans="1:4" ht="15.75" customHeight="1" x14ac:dyDescent="0.2">
      <c r="A928" s="2" t="s">
        <v>14</v>
      </c>
      <c r="B928" s="2" t="str">
        <f>"杨通铠"</f>
        <v>杨通铠</v>
      </c>
      <c r="C928" s="2" t="str">
        <f>"男"</f>
        <v>男</v>
      </c>
      <c r="D928" s="2" t="str">
        <f>"1997-08-16"</f>
        <v>1997-08-16</v>
      </c>
    </row>
    <row r="929" spans="1:4" ht="15.75" customHeight="1" x14ac:dyDescent="0.2">
      <c r="A929" s="2" t="s">
        <v>67</v>
      </c>
      <c r="B929" s="2" t="str">
        <f>"封明杰"</f>
        <v>封明杰</v>
      </c>
      <c r="C929" s="2" t="str">
        <f>"男"</f>
        <v>男</v>
      </c>
      <c r="D929" s="2" t="str">
        <f>"1990-01-12"</f>
        <v>1990-01-12</v>
      </c>
    </row>
    <row r="930" spans="1:4" ht="15.75" customHeight="1" x14ac:dyDescent="0.2">
      <c r="A930" s="2" t="s">
        <v>58</v>
      </c>
      <c r="B930" s="2" t="str">
        <f>"刘静"</f>
        <v>刘静</v>
      </c>
      <c r="C930" s="2" t="str">
        <f>"女"</f>
        <v>女</v>
      </c>
      <c r="D930" s="2" t="str">
        <f>"1991-09-08"</f>
        <v>1991-09-08</v>
      </c>
    </row>
    <row r="931" spans="1:4" ht="15.75" customHeight="1" x14ac:dyDescent="0.2">
      <c r="A931" s="2" t="s">
        <v>70</v>
      </c>
      <c r="B931" s="2" t="str">
        <f>"杨青"</f>
        <v>杨青</v>
      </c>
      <c r="C931" s="2" t="str">
        <f>"女"</f>
        <v>女</v>
      </c>
      <c r="D931" s="2" t="str">
        <f>"2000-02-06"</f>
        <v>2000-02-06</v>
      </c>
    </row>
    <row r="932" spans="1:4" ht="15.75" customHeight="1" x14ac:dyDescent="0.2">
      <c r="A932" s="2" t="s">
        <v>12</v>
      </c>
      <c r="B932" s="2" t="str">
        <f>"何西"</f>
        <v>何西</v>
      </c>
      <c r="C932" s="2" t="str">
        <f>"女"</f>
        <v>女</v>
      </c>
      <c r="D932" s="2" t="str">
        <f>"1997-10-21"</f>
        <v>1997-10-21</v>
      </c>
    </row>
    <row r="933" spans="1:4" ht="15.75" customHeight="1" x14ac:dyDescent="0.2">
      <c r="A933" s="2" t="s">
        <v>42</v>
      </c>
      <c r="B933" s="2" t="str">
        <f>"程邦"</f>
        <v>程邦</v>
      </c>
      <c r="C933" s="2" t="str">
        <f>"男"</f>
        <v>男</v>
      </c>
      <c r="D933" s="2" t="str">
        <f>"1989-10-08"</f>
        <v>1989-10-08</v>
      </c>
    </row>
    <row r="934" spans="1:4" ht="15.75" customHeight="1" x14ac:dyDescent="0.2">
      <c r="A934" s="2" t="s">
        <v>14</v>
      </c>
      <c r="B934" s="2" t="str">
        <f>"袁川"</f>
        <v>袁川</v>
      </c>
      <c r="C934" s="2" t="str">
        <f>"男"</f>
        <v>男</v>
      </c>
      <c r="D934" s="2" t="str">
        <f>"1999-01-28"</f>
        <v>1999-01-28</v>
      </c>
    </row>
    <row r="935" spans="1:4" ht="15.75" customHeight="1" x14ac:dyDescent="0.2">
      <c r="A935" s="2" t="s">
        <v>12</v>
      </c>
      <c r="B935" s="2" t="str">
        <f>"黄雨森"</f>
        <v>黄雨森</v>
      </c>
      <c r="C935" s="2" t="str">
        <f>"男"</f>
        <v>男</v>
      </c>
      <c r="D935" s="2" t="str">
        <f>"1990-05-19"</f>
        <v>1990-05-19</v>
      </c>
    </row>
    <row r="936" spans="1:4" ht="15.75" customHeight="1" x14ac:dyDescent="0.2">
      <c r="A936" s="2" t="s">
        <v>24</v>
      </c>
      <c r="B936" s="2" t="str">
        <f>"温佩"</f>
        <v>温佩</v>
      </c>
      <c r="C936" s="2" t="str">
        <f>"男"</f>
        <v>男</v>
      </c>
      <c r="D936" s="2" t="str">
        <f>"1987-06-19"</f>
        <v>1987-06-19</v>
      </c>
    </row>
    <row r="937" spans="1:4" ht="15.75" customHeight="1" x14ac:dyDescent="0.2">
      <c r="A937" s="2" t="s">
        <v>40</v>
      </c>
      <c r="B937" s="2" t="str">
        <f>"谢家璇"</f>
        <v>谢家璇</v>
      </c>
      <c r="C937" s="2" t="str">
        <f>"女"</f>
        <v>女</v>
      </c>
      <c r="D937" s="2" t="str">
        <f>"2000-10-10"</f>
        <v>2000-10-10</v>
      </c>
    </row>
    <row r="938" spans="1:4" ht="15.75" customHeight="1" x14ac:dyDescent="0.2">
      <c r="A938" s="2" t="s">
        <v>14</v>
      </c>
      <c r="B938" s="2" t="str">
        <f>"秦小雅"</f>
        <v>秦小雅</v>
      </c>
      <c r="C938" s="2" t="str">
        <f>"女"</f>
        <v>女</v>
      </c>
      <c r="D938" s="2" t="str">
        <f>"2000-01-07"</f>
        <v>2000-01-07</v>
      </c>
    </row>
    <row r="939" spans="1:4" ht="15.75" customHeight="1" x14ac:dyDescent="0.2">
      <c r="A939" s="2" t="s">
        <v>15</v>
      </c>
      <c r="B939" s="2" t="str">
        <f>"陈林"</f>
        <v>陈林</v>
      </c>
      <c r="C939" s="2" t="str">
        <f>"女"</f>
        <v>女</v>
      </c>
      <c r="D939" s="2" t="str">
        <f>"1992-08-06"</f>
        <v>1992-08-06</v>
      </c>
    </row>
    <row r="940" spans="1:4" ht="15.75" customHeight="1" x14ac:dyDescent="0.2">
      <c r="A940" s="2" t="s">
        <v>59</v>
      </c>
      <c r="B940" s="2" t="str">
        <f>"段洁"</f>
        <v>段洁</v>
      </c>
      <c r="C940" s="2" t="str">
        <f>"女"</f>
        <v>女</v>
      </c>
      <c r="D940" s="2" t="str">
        <f>"1995-06-02"</f>
        <v>1995-06-02</v>
      </c>
    </row>
    <row r="941" spans="1:4" ht="15.75" customHeight="1" x14ac:dyDescent="0.2">
      <c r="A941" s="2" t="s">
        <v>61</v>
      </c>
      <c r="B941" s="2" t="str">
        <f>"方子倩"</f>
        <v>方子倩</v>
      </c>
      <c r="C941" s="2" t="str">
        <f>"女"</f>
        <v>女</v>
      </c>
      <c r="D941" s="2" t="str">
        <f>"1998-10-22"</f>
        <v>1998-10-22</v>
      </c>
    </row>
    <row r="942" spans="1:4" ht="15.75" customHeight="1" x14ac:dyDescent="0.2">
      <c r="A942" s="2" t="s">
        <v>14</v>
      </c>
      <c r="B942" s="2" t="str">
        <f>"刘明坤"</f>
        <v>刘明坤</v>
      </c>
      <c r="C942" s="2" t="str">
        <f>"男"</f>
        <v>男</v>
      </c>
      <c r="D942" s="2" t="str">
        <f>"1994-01-31"</f>
        <v>1994-01-31</v>
      </c>
    </row>
    <row r="943" spans="1:4" ht="15.75" customHeight="1" x14ac:dyDescent="0.2">
      <c r="A943" s="2" t="s">
        <v>60</v>
      </c>
      <c r="B943" s="2" t="str">
        <f>"郑茂伟"</f>
        <v>郑茂伟</v>
      </c>
      <c r="C943" s="2" t="str">
        <f>"男"</f>
        <v>男</v>
      </c>
      <c r="D943" s="2" t="str">
        <f>"1996-04-25"</f>
        <v>1996-04-25</v>
      </c>
    </row>
    <row r="944" spans="1:4" ht="15.75" customHeight="1" x14ac:dyDescent="0.2">
      <c r="A944" s="2" t="s">
        <v>36</v>
      </c>
      <c r="B944" s="2" t="str">
        <f>"唐炜涵"</f>
        <v>唐炜涵</v>
      </c>
      <c r="C944" s="2" t="str">
        <f>"男"</f>
        <v>男</v>
      </c>
      <c r="D944" s="2" t="str">
        <f>"1999-07-28"</f>
        <v>1999-07-28</v>
      </c>
    </row>
    <row r="945" spans="1:4" ht="15.75" customHeight="1" x14ac:dyDescent="0.2">
      <c r="A945" s="2" t="s">
        <v>14</v>
      </c>
      <c r="B945" s="2" t="str">
        <f>"罗皎"</f>
        <v>罗皎</v>
      </c>
      <c r="C945" s="2" t="str">
        <f>"男"</f>
        <v>男</v>
      </c>
      <c r="D945" s="2" t="str">
        <f>"1990-06-01"</f>
        <v>1990-06-01</v>
      </c>
    </row>
    <row r="946" spans="1:4" ht="15.75" customHeight="1" x14ac:dyDescent="0.2">
      <c r="A946" s="2" t="s">
        <v>20</v>
      </c>
      <c r="B946" s="2" t="str">
        <f>"殷梦君"</f>
        <v>殷梦君</v>
      </c>
      <c r="C946" s="2" t="str">
        <f>"女"</f>
        <v>女</v>
      </c>
      <c r="D946" s="2" t="str">
        <f>"2000-01-07"</f>
        <v>2000-01-07</v>
      </c>
    </row>
    <row r="947" spans="1:4" ht="15.75" customHeight="1" x14ac:dyDescent="0.2">
      <c r="A947" s="2" t="s">
        <v>29</v>
      </c>
      <c r="B947" s="2" t="str">
        <f>"莫红果"</f>
        <v>莫红果</v>
      </c>
      <c r="C947" s="2" t="str">
        <f>"男"</f>
        <v>男</v>
      </c>
      <c r="D947" s="2" t="str">
        <f>"1994-12-21"</f>
        <v>1994-12-21</v>
      </c>
    </row>
    <row r="948" spans="1:4" ht="15.75" customHeight="1" x14ac:dyDescent="0.2">
      <c r="A948" s="2" t="s">
        <v>14</v>
      </c>
      <c r="B948" s="2" t="str">
        <f>"郭思佳"</f>
        <v>郭思佳</v>
      </c>
      <c r="C948" s="2" t="str">
        <f>"女"</f>
        <v>女</v>
      </c>
      <c r="D948" s="2" t="str">
        <f>"2001-01-01"</f>
        <v>2001-01-01</v>
      </c>
    </row>
    <row r="949" spans="1:4" ht="15.75" customHeight="1" x14ac:dyDescent="0.2">
      <c r="A949" s="2" t="s">
        <v>55</v>
      </c>
      <c r="B949" s="2" t="str">
        <f>"黄谦"</f>
        <v>黄谦</v>
      </c>
      <c r="C949" s="2" t="str">
        <f>"男"</f>
        <v>男</v>
      </c>
      <c r="D949" s="2" t="str">
        <f>"1998-05-18"</f>
        <v>1998-05-18</v>
      </c>
    </row>
    <row r="950" spans="1:4" ht="15.75" customHeight="1" x14ac:dyDescent="0.2">
      <c r="A950" s="2" t="s">
        <v>24</v>
      </c>
      <c r="B950" s="2" t="str">
        <f>"张心远"</f>
        <v>张心远</v>
      </c>
      <c r="C950" s="2" t="str">
        <f>"男"</f>
        <v>男</v>
      </c>
      <c r="D950" s="2" t="str">
        <f>"1998-05-17"</f>
        <v>1998-05-17</v>
      </c>
    </row>
    <row r="951" spans="1:4" ht="15.75" customHeight="1" x14ac:dyDescent="0.2">
      <c r="A951" s="2" t="s">
        <v>15</v>
      </c>
      <c r="B951" s="2" t="str">
        <f>"熊泽民"</f>
        <v>熊泽民</v>
      </c>
      <c r="C951" s="2" t="str">
        <f>"男"</f>
        <v>男</v>
      </c>
      <c r="D951" s="2" t="str">
        <f>"1993-05-10"</f>
        <v>1993-05-10</v>
      </c>
    </row>
    <row r="952" spans="1:4" ht="15.75" customHeight="1" x14ac:dyDescent="0.2">
      <c r="A952" s="2" t="s">
        <v>8</v>
      </c>
      <c r="B952" s="2" t="str">
        <f>"杨森皓"</f>
        <v>杨森皓</v>
      </c>
      <c r="C952" s="2" t="str">
        <f>"男"</f>
        <v>男</v>
      </c>
      <c r="D952" s="2" t="str">
        <f>"1993-05-28"</f>
        <v>1993-05-28</v>
      </c>
    </row>
    <row r="953" spans="1:4" ht="15.75" customHeight="1" x14ac:dyDescent="0.2">
      <c r="A953" s="2" t="s">
        <v>55</v>
      </c>
      <c r="B953" s="2" t="str">
        <f>"谷北斗"</f>
        <v>谷北斗</v>
      </c>
      <c r="C953" s="2" t="str">
        <f>"男"</f>
        <v>男</v>
      </c>
      <c r="D953" s="2" t="str">
        <f>"1993-01-29"</f>
        <v>1993-01-29</v>
      </c>
    </row>
    <row r="954" spans="1:4" ht="15.75" customHeight="1" x14ac:dyDescent="0.2">
      <c r="A954" s="2" t="s">
        <v>59</v>
      </c>
      <c r="B954" s="2" t="str">
        <f>"黄晶晶"</f>
        <v>黄晶晶</v>
      </c>
      <c r="C954" s="2" t="str">
        <f>"女"</f>
        <v>女</v>
      </c>
      <c r="D954" s="2" t="str">
        <f>"1994-04-27"</f>
        <v>1994-04-27</v>
      </c>
    </row>
    <row r="955" spans="1:4" ht="15.75" customHeight="1" x14ac:dyDescent="0.2">
      <c r="A955" s="2" t="s">
        <v>24</v>
      </c>
      <c r="B955" s="2" t="str">
        <f>"傅旋"</f>
        <v>傅旋</v>
      </c>
      <c r="C955" s="2" t="str">
        <f>"男"</f>
        <v>男</v>
      </c>
      <c r="D955" s="2" t="str">
        <f>"1996-05-19"</f>
        <v>1996-05-19</v>
      </c>
    </row>
    <row r="956" spans="1:4" ht="15.75" customHeight="1" x14ac:dyDescent="0.2">
      <c r="A956" s="2" t="s">
        <v>61</v>
      </c>
      <c r="B956" s="2" t="str">
        <f>"邹豪杰"</f>
        <v>邹豪杰</v>
      </c>
      <c r="C956" s="2" t="str">
        <f>"男"</f>
        <v>男</v>
      </c>
      <c r="D956" s="2" t="str">
        <f>"1996-04-20"</f>
        <v>1996-04-20</v>
      </c>
    </row>
    <row r="957" spans="1:4" ht="15.75" customHeight="1" x14ac:dyDescent="0.2">
      <c r="A957" s="2" t="s">
        <v>44</v>
      </c>
      <c r="B957" s="2" t="str">
        <f>"布林"</f>
        <v>布林</v>
      </c>
      <c r="C957" s="2" t="str">
        <f>"男"</f>
        <v>男</v>
      </c>
      <c r="D957" s="2" t="str">
        <f>"1987-05-16"</f>
        <v>1987-05-16</v>
      </c>
    </row>
    <row r="958" spans="1:4" ht="15.75" customHeight="1" x14ac:dyDescent="0.2">
      <c r="A958" s="2" t="s">
        <v>14</v>
      </c>
      <c r="B958" s="2" t="str">
        <f>"钟莉"</f>
        <v>钟莉</v>
      </c>
      <c r="C958" s="2" t="str">
        <f>"女"</f>
        <v>女</v>
      </c>
      <c r="D958" s="2" t="str">
        <f>"1989-10-06"</f>
        <v>1989-10-06</v>
      </c>
    </row>
    <row r="959" spans="1:4" ht="15.75" customHeight="1" x14ac:dyDescent="0.2">
      <c r="A959" s="2" t="s">
        <v>20</v>
      </c>
      <c r="B959" s="2" t="str">
        <f>"钟琳静"</f>
        <v>钟琳静</v>
      </c>
      <c r="C959" s="2" t="str">
        <f>"女"</f>
        <v>女</v>
      </c>
      <c r="D959" s="2" t="str">
        <f>"1997-08-14"</f>
        <v>1997-08-14</v>
      </c>
    </row>
    <row r="960" spans="1:4" ht="15.75" customHeight="1" x14ac:dyDescent="0.2">
      <c r="A960" s="2" t="s">
        <v>45</v>
      </c>
      <c r="B960" s="2" t="str">
        <f>"向迪"</f>
        <v>向迪</v>
      </c>
      <c r="C960" s="2" t="str">
        <f>"男"</f>
        <v>男</v>
      </c>
      <c r="D960" s="2" t="str">
        <f>"1996-07-22"</f>
        <v>1996-07-22</v>
      </c>
    </row>
    <row r="961" spans="1:4" ht="15.75" customHeight="1" x14ac:dyDescent="0.2">
      <c r="A961" s="2" t="s">
        <v>49</v>
      </c>
      <c r="B961" s="2" t="str">
        <f>"皮云朝"</f>
        <v>皮云朝</v>
      </c>
      <c r="C961" s="2" t="str">
        <f>"男"</f>
        <v>男</v>
      </c>
      <c r="D961" s="2" t="str">
        <f>"1991-09-10"</f>
        <v>1991-09-10</v>
      </c>
    </row>
    <row r="962" spans="1:4" ht="15.75" customHeight="1" x14ac:dyDescent="0.2">
      <c r="A962" s="2" t="s">
        <v>31</v>
      </c>
      <c r="B962" s="2" t="str">
        <f>"闫晶"</f>
        <v>闫晶</v>
      </c>
      <c r="C962" s="2" t="str">
        <f>"女"</f>
        <v>女</v>
      </c>
      <c r="D962" s="2" t="str">
        <f>"1996-11-21"</f>
        <v>1996-11-21</v>
      </c>
    </row>
    <row r="963" spans="1:4" ht="15.75" customHeight="1" x14ac:dyDescent="0.2">
      <c r="A963" s="2" t="s">
        <v>24</v>
      </c>
      <c r="B963" s="2" t="str">
        <f>"王长江"</f>
        <v>王长江</v>
      </c>
      <c r="C963" s="2" t="str">
        <f>"男"</f>
        <v>男</v>
      </c>
      <c r="D963" s="2" t="str">
        <f>"1994-09-22"</f>
        <v>1994-09-22</v>
      </c>
    </row>
    <row r="964" spans="1:4" ht="15.75" customHeight="1" x14ac:dyDescent="0.2">
      <c r="A964" s="2" t="s">
        <v>14</v>
      </c>
      <c r="B964" s="2" t="str">
        <f>"易宏志"</f>
        <v>易宏志</v>
      </c>
      <c r="C964" s="2" t="str">
        <f>"男"</f>
        <v>男</v>
      </c>
      <c r="D964" s="2" t="str">
        <f>"1989-12-03"</f>
        <v>1989-12-03</v>
      </c>
    </row>
    <row r="965" spans="1:4" ht="15.75" customHeight="1" x14ac:dyDescent="0.2">
      <c r="A965" s="2" t="s">
        <v>29</v>
      </c>
      <c r="B965" s="2" t="str">
        <f>"彭秦雨"</f>
        <v>彭秦雨</v>
      </c>
      <c r="C965" s="2" t="str">
        <f>"男"</f>
        <v>男</v>
      </c>
      <c r="D965" s="2" t="str">
        <f>"1998-02-12"</f>
        <v>1998-02-12</v>
      </c>
    </row>
    <row r="966" spans="1:4" ht="15.75" customHeight="1" x14ac:dyDescent="0.2">
      <c r="A966" s="2" t="s">
        <v>14</v>
      </c>
      <c r="B966" s="2" t="str">
        <f>"吴笛"</f>
        <v>吴笛</v>
      </c>
      <c r="C966" s="2" t="str">
        <f>"男"</f>
        <v>男</v>
      </c>
      <c r="D966" s="2" t="str">
        <f>"1998-02-19"</f>
        <v>1998-02-19</v>
      </c>
    </row>
    <row r="967" spans="1:4" ht="15.75" customHeight="1" x14ac:dyDescent="0.2">
      <c r="A967" s="2" t="s">
        <v>17</v>
      </c>
      <c r="B967" s="2" t="str">
        <f>"田家祥"</f>
        <v>田家祥</v>
      </c>
      <c r="C967" s="2" t="str">
        <f>"男"</f>
        <v>男</v>
      </c>
      <c r="D967" s="2" t="str">
        <f>"1991-12-06"</f>
        <v>1991-12-06</v>
      </c>
    </row>
    <row r="968" spans="1:4" ht="15.75" customHeight="1" x14ac:dyDescent="0.2">
      <c r="A968" s="2" t="s">
        <v>15</v>
      </c>
      <c r="B968" s="2" t="str">
        <f>"陈昱如"</f>
        <v>陈昱如</v>
      </c>
      <c r="C968" s="2" t="str">
        <f>"女"</f>
        <v>女</v>
      </c>
      <c r="D968" s="2" t="str">
        <f>"1996-08-10"</f>
        <v>1996-08-10</v>
      </c>
    </row>
    <row r="969" spans="1:4" ht="15.75" customHeight="1" x14ac:dyDescent="0.2">
      <c r="A969" s="2" t="s">
        <v>41</v>
      </c>
      <c r="B969" s="2" t="str">
        <f>"陈曦"</f>
        <v>陈曦</v>
      </c>
      <c r="C969" s="2" t="str">
        <f>"女"</f>
        <v>女</v>
      </c>
      <c r="D969" s="2" t="str">
        <f>"1998-04-17"</f>
        <v>1998-04-17</v>
      </c>
    </row>
    <row r="970" spans="1:4" ht="15.75" customHeight="1" x14ac:dyDescent="0.2">
      <c r="A970" s="2" t="s">
        <v>60</v>
      </c>
      <c r="B970" s="2" t="str">
        <f>"夏竹君"</f>
        <v>夏竹君</v>
      </c>
      <c r="C970" s="2" t="str">
        <f>"女"</f>
        <v>女</v>
      </c>
      <c r="D970" s="2" t="str">
        <f>"1995-11-17"</f>
        <v>1995-11-17</v>
      </c>
    </row>
    <row r="971" spans="1:4" ht="15.75" customHeight="1" x14ac:dyDescent="0.2">
      <c r="A971" s="2" t="s">
        <v>40</v>
      </c>
      <c r="B971" s="2" t="str">
        <f>"蔡卓尔"</f>
        <v>蔡卓尔</v>
      </c>
      <c r="C971" s="2" t="str">
        <f>"女"</f>
        <v>女</v>
      </c>
      <c r="D971" s="2" t="str">
        <f>"1997-11-24"</f>
        <v>1997-11-24</v>
      </c>
    </row>
    <row r="972" spans="1:4" ht="15.75" customHeight="1" x14ac:dyDescent="0.2">
      <c r="A972" s="2" t="s">
        <v>14</v>
      </c>
      <c r="B972" s="2" t="str">
        <f>"郑金叶"</f>
        <v>郑金叶</v>
      </c>
      <c r="C972" s="2" t="str">
        <f>"女"</f>
        <v>女</v>
      </c>
      <c r="D972" s="2" t="str">
        <f>"1999-10-28"</f>
        <v>1999-10-28</v>
      </c>
    </row>
    <row r="973" spans="1:4" ht="15.75" customHeight="1" x14ac:dyDescent="0.2">
      <c r="A973" s="2" t="s">
        <v>63</v>
      </c>
      <c r="B973" s="2" t="str">
        <f>"汪洋"</f>
        <v>汪洋</v>
      </c>
      <c r="C973" s="2" t="str">
        <f>"男"</f>
        <v>男</v>
      </c>
      <c r="D973" s="2" t="str">
        <f>"1996-08-26"</f>
        <v>1996-08-26</v>
      </c>
    </row>
    <row r="974" spans="1:4" ht="15.75" customHeight="1" x14ac:dyDescent="0.2">
      <c r="A974" s="2" t="s">
        <v>13</v>
      </c>
      <c r="B974" s="2" t="str">
        <f>"谢文英"</f>
        <v>谢文英</v>
      </c>
      <c r="C974" s="2" t="str">
        <f>"女"</f>
        <v>女</v>
      </c>
      <c r="D974" s="2" t="str">
        <f>"1993-04-12"</f>
        <v>1993-04-12</v>
      </c>
    </row>
    <row r="975" spans="1:4" ht="15.75" customHeight="1" x14ac:dyDescent="0.2">
      <c r="A975" s="2" t="s">
        <v>9</v>
      </c>
      <c r="B975" s="2" t="str">
        <f>"杜鹏飞"</f>
        <v>杜鹏飞</v>
      </c>
      <c r="C975" s="2" t="str">
        <f>"男"</f>
        <v>男</v>
      </c>
      <c r="D975" s="2" t="str">
        <f>"1998-08-17"</f>
        <v>1998-08-17</v>
      </c>
    </row>
    <row r="976" spans="1:4" ht="15.75" customHeight="1" x14ac:dyDescent="0.2">
      <c r="A976" s="2" t="s">
        <v>68</v>
      </c>
      <c r="B976" s="2" t="str">
        <f>"程行"</f>
        <v>程行</v>
      </c>
      <c r="C976" s="2" t="str">
        <f>"女"</f>
        <v>女</v>
      </c>
      <c r="D976" s="2" t="str">
        <f>"1995-10-01"</f>
        <v>1995-10-01</v>
      </c>
    </row>
    <row r="977" spans="1:4" ht="15.75" customHeight="1" x14ac:dyDescent="0.2">
      <c r="A977" s="2" t="s">
        <v>24</v>
      </c>
      <c r="B977" s="2" t="str">
        <f>"李菲"</f>
        <v>李菲</v>
      </c>
      <c r="C977" s="2" t="str">
        <f>"女"</f>
        <v>女</v>
      </c>
      <c r="D977" s="2" t="str">
        <f>"1993-05-19"</f>
        <v>1993-05-19</v>
      </c>
    </row>
    <row r="978" spans="1:4" ht="15.75" customHeight="1" x14ac:dyDescent="0.2">
      <c r="A978" s="2" t="s">
        <v>66</v>
      </c>
      <c r="B978" s="2" t="str">
        <f>"毛玄凌"</f>
        <v>毛玄凌</v>
      </c>
      <c r="C978" s="2" t="str">
        <f>"男"</f>
        <v>男</v>
      </c>
      <c r="D978" s="2" t="str">
        <f>"1992-10-03"</f>
        <v>1992-10-03</v>
      </c>
    </row>
    <row r="979" spans="1:4" ht="15.75" customHeight="1" x14ac:dyDescent="0.2">
      <c r="A979" s="2" t="s">
        <v>15</v>
      </c>
      <c r="B979" s="2" t="str">
        <f>"王漠溪"</f>
        <v>王漠溪</v>
      </c>
      <c r="C979" s="2" t="str">
        <f>"男"</f>
        <v>男</v>
      </c>
      <c r="D979" s="2" t="str">
        <f>"1998-05-14"</f>
        <v>1998-05-14</v>
      </c>
    </row>
    <row r="980" spans="1:4" ht="15.75" customHeight="1" x14ac:dyDescent="0.2">
      <c r="A980" s="2" t="s">
        <v>20</v>
      </c>
      <c r="B980" s="2" t="str">
        <f>"刘欢"</f>
        <v>刘欢</v>
      </c>
      <c r="C980" s="2" t="str">
        <f>"女"</f>
        <v>女</v>
      </c>
      <c r="D980" s="2" t="str">
        <f>"1995-09-22"</f>
        <v>1995-09-22</v>
      </c>
    </row>
    <row r="981" spans="1:4" ht="15.75" customHeight="1" x14ac:dyDescent="0.2">
      <c r="A981" s="2" t="s">
        <v>43</v>
      </c>
      <c r="B981" s="2" t="str">
        <f>"杨方仪"</f>
        <v>杨方仪</v>
      </c>
      <c r="C981" s="2" t="str">
        <f>"女"</f>
        <v>女</v>
      </c>
      <c r="D981" s="2" t="str">
        <f>"1995-12-25"</f>
        <v>1995-12-25</v>
      </c>
    </row>
    <row r="982" spans="1:4" ht="15.75" customHeight="1" x14ac:dyDescent="0.2">
      <c r="A982" s="2" t="s">
        <v>60</v>
      </c>
      <c r="B982" s="2" t="str">
        <f>"罗贝"</f>
        <v>罗贝</v>
      </c>
      <c r="C982" s="2" t="str">
        <f>"女"</f>
        <v>女</v>
      </c>
      <c r="D982" s="2" t="str">
        <f>"1998-07-16"</f>
        <v>1998-07-16</v>
      </c>
    </row>
    <row r="983" spans="1:4" ht="15.75" customHeight="1" x14ac:dyDescent="0.2">
      <c r="A983" s="2" t="s">
        <v>30</v>
      </c>
      <c r="B983" s="2" t="str">
        <f>"涂浪"</f>
        <v>涂浪</v>
      </c>
      <c r="C983" s="2" t="str">
        <f>"男"</f>
        <v>男</v>
      </c>
      <c r="D983" s="2" t="str">
        <f>"1993-10-02"</f>
        <v>1993-10-02</v>
      </c>
    </row>
    <row r="984" spans="1:4" ht="15.75" customHeight="1" x14ac:dyDescent="0.2">
      <c r="A984" s="2" t="s">
        <v>71</v>
      </c>
      <c r="B984" s="2" t="str">
        <f>"伍艳林"</f>
        <v>伍艳林</v>
      </c>
      <c r="C984" s="2" t="str">
        <f>"女"</f>
        <v>女</v>
      </c>
      <c r="D984" s="2" t="str">
        <f>"1996-10-20"</f>
        <v>1996-10-20</v>
      </c>
    </row>
    <row r="985" spans="1:4" ht="15.75" customHeight="1" x14ac:dyDescent="0.2">
      <c r="A985" s="2" t="s">
        <v>29</v>
      </c>
      <c r="B985" s="2" t="str">
        <f>"马渝湘"</f>
        <v>马渝湘</v>
      </c>
      <c r="C985" s="2" t="str">
        <f>"女"</f>
        <v>女</v>
      </c>
      <c r="D985" s="2" t="str">
        <f>"1999-09-27"</f>
        <v>1999-09-27</v>
      </c>
    </row>
    <row r="986" spans="1:4" ht="15.75" customHeight="1" x14ac:dyDescent="0.2">
      <c r="A986" s="2" t="s">
        <v>14</v>
      </c>
      <c r="B986" s="2" t="str">
        <f>"谢孟知"</f>
        <v>谢孟知</v>
      </c>
      <c r="C986" s="2" t="str">
        <f>"男"</f>
        <v>男</v>
      </c>
      <c r="D986" s="2" t="str">
        <f>"1997-02-18"</f>
        <v>1997-02-18</v>
      </c>
    </row>
    <row r="987" spans="1:4" ht="15.75" customHeight="1" x14ac:dyDescent="0.2">
      <c r="A987" s="2" t="s">
        <v>22</v>
      </c>
      <c r="B987" s="2" t="str">
        <f>"李俊"</f>
        <v>李俊</v>
      </c>
      <c r="C987" s="2" t="str">
        <f>"女"</f>
        <v>女</v>
      </c>
      <c r="D987" s="2" t="str">
        <f>"1999-02-27"</f>
        <v>1999-02-27</v>
      </c>
    </row>
    <row r="988" spans="1:4" ht="15.75" customHeight="1" x14ac:dyDescent="0.2">
      <c r="A988" s="2" t="s">
        <v>50</v>
      </c>
      <c r="B988" s="2" t="str">
        <f>"沈智敏"</f>
        <v>沈智敏</v>
      </c>
      <c r="C988" s="2" t="str">
        <f>"女"</f>
        <v>女</v>
      </c>
      <c r="D988" s="2" t="str">
        <f>"1998-12-24"</f>
        <v>1998-12-24</v>
      </c>
    </row>
    <row r="989" spans="1:4" ht="15.75" customHeight="1" x14ac:dyDescent="0.2">
      <c r="A989" s="2" t="s">
        <v>26</v>
      </c>
      <c r="B989" s="2" t="str">
        <f>"李文韬"</f>
        <v>李文韬</v>
      </c>
      <c r="C989" s="2" t="str">
        <f>"男"</f>
        <v>男</v>
      </c>
      <c r="D989" s="2" t="str">
        <f>"1996-11-10"</f>
        <v>1996-11-10</v>
      </c>
    </row>
    <row r="990" spans="1:4" ht="15.75" customHeight="1" x14ac:dyDescent="0.2">
      <c r="A990" s="2" t="s">
        <v>58</v>
      </c>
      <c r="B990" s="2" t="str">
        <f>"何祎凡"</f>
        <v>何祎凡</v>
      </c>
      <c r="C990" s="2" t="str">
        <f>"女"</f>
        <v>女</v>
      </c>
      <c r="D990" s="2" t="str">
        <f>"1998-10-08"</f>
        <v>1998-10-08</v>
      </c>
    </row>
    <row r="991" spans="1:4" ht="15.75" customHeight="1" x14ac:dyDescent="0.2">
      <c r="A991" s="2" t="s">
        <v>52</v>
      </c>
      <c r="B991" s="2" t="str">
        <f>"涂珊"</f>
        <v>涂珊</v>
      </c>
      <c r="C991" s="2" t="str">
        <f>"女"</f>
        <v>女</v>
      </c>
      <c r="D991" s="2" t="str">
        <f>"1998-01-30"</f>
        <v>1998-01-30</v>
      </c>
    </row>
    <row r="992" spans="1:4" ht="15.75" customHeight="1" x14ac:dyDescent="0.2">
      <c r="A992" s="2" t="s">
        <v>63</v>
      </c>
      <c r="B992" s="2" t="str">
        <f>"王浩"</f>
        <v>王浩</v>
      </c>
      <c r="C992" s="2" t="str">
        <f>"男"</f>
        <v>男</v>
      </c>
      <c r="D992" s="2" t="str">
        <f>"1997-11-26"</f>
        <v>1997-11-26</v>
      </c>
    </row>
    <row r="993" spans="1:4" ht="15.75" customHeight="1" x14ac:dyDescent="0.2">
      <c r="A993" s="2" t="s">
        <v>38</v>
      </c>
      <c r="B993" s="2" t="str">
        <f>"廖荣"</f>
        <v>廖荣</v>
      </c>
      <c r="C993" s="2" t="str">
        <f>"男"</f>
        <v>男</v>
      </c>
      <c r="D993" s="2" t="str">
        <f>"1998-01-06"</f>
        <v>1998-01-06</v>
      </c>
    </row>
    <row r="994" spans="1:4" ht="15.75" customHeight="1" x14ac:dyDescent="0.2">
      <c r="A994" s="2" t="s">
        <v>55</v>
      </c>
      <c r="B994" s="2" t="str">
        <f>"甘杨"</f>
        <v>甘杨</v>
      </c>
      <c r="C994" s="2" t="str">
        <f>"男"</f>
        <v>男</v>
      </c>
      <c r="D994" s="2" t="str">
        <f>"1992-11-19"</f>
        <v>1992-11-19</v>
      </c>
    </row>
    <row r="995" spans="1:4" ht="15.75" customHeight="1" x14ac:dyDescent="0.2">
      <c r="A995" s="2" t="s">
        <v>49</v>
      </c>
      <c r="B995" s="2" t="str">
        <f>"苏童"</f>
        <v>苏童</v>
      </c>
      <c r="C995" s="2" t="str">
        <f>"男"</f>
        <v>男</v>
      </c>
      <c r="D995" s="2" t="str">
        <f>"1993-04-16"</f>
        <v>1993-04-16</v>
      </c>
    </row>
    <row r="996" spans="1:4" ht="15.75" customHeight="1" x14ac:dyDescent="0.2">
      <c r="A996" s="2" t="s">
        <v>63</v>
      </c>
      <c r="B996" s="2" t="str">
        <f>"胡丹"</f>
        <v>胡丹</v>
      </c>
      <c r="C996" s="2" t="str">
        <f>"女"</f>
        <v>女</v>
      </c>
      <c r="D996" s="2" t="str">
        <f>"1999-09-27"</f>
        <v>1999-09-27</v>
      </c>
    </row>
    <row r="997" spans="1:4" ht="15.75" customHeight="1" x14ac:dyDescent="0.2">
      <c r="A997" s="2" t="s">
        <v>13</v>
      </c>
      <c r="B997" s="2" t="str">
        <f>"田庭迁"</f>
        <v>田庭迁</v>
      </c>
      <c r="C997" s="2" t="str">
        <f>"男"</f>
        <v>男</v>
      </c>
      <c r="D997" s="2" t="str">
        <f>"1991-06-25"</f>
        <v>1991-06-25</v>
      </c>
    </row>
    <row r="998" spans="1:4" ht="15.75" customHeight="1" x14ac:dyDescent="0.2">
      <c r="A998" s="2" t="s">
        <v>37</v>
      </c>
      <c r="B998" s="2" t="str">
        <f>"唐耿舜"</f>
        <v>唐耿舜</v>
      </c>
      <c r="C998" s="2" t="str">
        <f>"男"</f>
        <v>男</v>
      </c>
      <c r="D998" s="2" t="str">
        <f>"1991-09-17"</f>
        <v>1991-09-17</v>
      </c>
    </row>
    <row r="999" spans="1:4" ht="15.75" customHeight="1" x14ac:dyDescent="0.2">
      <c r="A999" s="2" t="s">
        <v>41</v>
      </c>
      <c r="B999" s="2" t="str">
        <f>"刘洋宇"</f>
        <v>刘洋宇</v>
      </c>
      <c r="C999" s="2" t="str">
        <f>"男"</f>
        <v>男</v>
      </c>
      <c r="D999" s="2" t="str">
        <f>"1997-01-23"</f>
        <v>1997-01-23</v>
      </c>
    </row>
    <row r="1000" spans="1:4" ht="15.75" customHeight="1" x14ac:dyDescent="0.2">
      <c r="A1000" s="2" t="s">
        <v>41</v>
      </c>
      <c r="B1000" s="2" t="str">
        <f>"甘恢茂"</f>
        <v>甘恢茂</v>
      </c>
      <c r="C1000" s="2" t="str">
        <f>"男"</f>
        <v>男</v>
      </c>
      <c r="D1000" s="2" t="str">
        <f>"1996-02-21"</f>
        <v>1996-02-21</v>
      </c>
    </row>
    <row r="1001" spans="1:4" ht="15.75" customHeight="1" x14ac:dyDescent="0.2">
      <c r="A1001" s="2" t="s">
        <v>67</v>
      </c>
      <c r="B1001" s="2" t="str">
        <f>"龙志成"</f>
        <v>龙志成</v>
      </c>
      <c r="C1001" s="2" t="str">
        <f>"男"</f>
        <v>男</v>
      </c>
      <c r="D1001" s="2" t="str">
        <f>"1986-09-24"</f>
        <v>1986-09-24</v>
      </c>
    </row>
    <row r="1002" spans="1:4" ht="15.75" customHeight="1" x14ac:dyDescent="0.2">
      <c r="A1002" s="2" t="s">
        <v>28</v>
      </c>
      <c r="B1002" s="2" t="str">
        <f>"王山"</f>
        <v>王山</v>
      </c>
      <c r="C1002" s="2" t="str">
        <f>"女"</f>
        <v>女</v>
      </c>
      <c r="D1002" s="2" t="str">
        <f>"1993-08-21"</f>
        <v>1993-08-21</v>
      </c>
    </row>
    <row r="1003" spans="1:4" ht="15.75" customHeight="1" x14ac:dyDescent="0.2">
      <c r="A1003" s="2" t="s">
        <v>15</v>
      </c>
      <c r="B1003" s="2" t="str">
        <f>"张冉旭"</f>
        <v>张冉旭</v>
      </c>
      <c r="C1003" s="2" t="str">
        <f>"男"</f>
        <v>男</v>
      </c>
      <c r="D1003" s="2" t="str">
        <f>"1991-03-15"</f>
        <v>1991-03-15</v>
      </c>
    </row>
    <row r="1004" spans="1:4" ht="15.75" customHeight="1" x14ac:dyDescent="0.2">
      <c r="A1004" s="2" t="s">
        <v>65</v>
      </c>
      <c r="B1004" s="2" t="str">
        <f>"饶艳春"</f>
        <v>饶艳春</v>
      </c>
      <c r="C1004" s="2" t="str">
        <f>"女"</f>
        <v>女</v>
      </c>
      <c r="D1004" s="2" t="str">
        <f>"1996-02-16"</f>
        <v>1996-02-16</v>
      </c>
    </row>
    <row r="1005" spans="1:4" ht="15.75" customHeight="1" x14ac:dyDescent="0.2">
      <c r="A1005" s="2" t="s">
        <v>31</v>
      </c>
      <c r="B1005" s="2" t="str">
        <f>"曾东"</f>
        <v>曾东</v>
      </c>
      <c r="C1005" s="2" t="str">
        <f>"男"</f>
        <v>男</v>
      </c>
      <c r="D1005" s="2" t="str">
        <f>"1992-12-12"</f>
        <v>1992-12-12</v>
      </c>
    </row>
    <row r="1006" spans="1:4" ht="15.75" customHeight="1" x14ac:dyDescent="0.2">
      <c r="A1006" s="2" t="s">
        <v>36</v>
      </c>
      <c r="B1006" s="2" t="str">
        <f>"黄毅"</f>
        <v>黄毅</v>
      </c>
      <c r="C1006" s="2" t="str">
        <f>"男"</f>
        <v>男</v>
      </c>
      <c r="D1006" s="2" t="str">
        <f>"1997-02-03"</f>
        <v>1997-02-03</v>
      </c>
    </row>
    <row r="1007" spans="1:4" ht="15.75" customHeight="1" x14ac:dyDescent="0.2">
      <c r="A1007" s="2" t="s">
        <v>12</v>
      </c>
      <c r="B1007" s="2" t="str">
        <f>"莫映雪"</f>
        <v>莫映雪</v>
      </c>
      <c r="C1007" s="2" t="str">
        <f>"女"</f>
        <v>女</v>
      </c>
      <c r="D1007" s="2" t="str">
        <f>"1995-10-03"</f>
        <v>1995-10-03</v>
      </c>
    </row>
    <row r="1008" spans="1:4" ht="15.75" customHeight="1" x14ac:dyDescent="0.2">
      <c r="A1008" s="2" t="s">
        <v>57</v>
      </c>
      <c r="B1008" s="2" t="str">
        <f>"江灵铭"</f>
        <v>江灵铭</v>
      </c>
      <c r="C1008" s="2" t="str">
        <f>"女"</f>
        <v>女</v>
      </c>
      <c r="D1008" s="2" t="str">
        <f>"1999-10-21"</f>
        <v>1999-10-21</v>
      </c>
    </row>
    <row r="1009" spans="1:4" ht="15.75" customHeight="1" x14ac:dyDescent="0.2">
      <c r="A1009" s="2" t="s">
        <v>59</v>
      </c>
      <c r="B1009" s="2" t="str">
        <f>"盛茜蒙"</f>
        <v>盛茜蒙</v>
      </c>
      <c r="C1009" s="2" t="str">
        <f>"女"</f>
        <v>女</v>
      </c>
      <c r="D1009" s="2" t="str">
        <f>"1999-11-19"</f>
        <v>1999-11-19</v>
      </c>
    </row>
    <row r="1010" spans="1:4" ht="15.75" customHeight="1" x14ac:dyDescent="0.2">
      <c r="A1010" s="2" t="s">
        <v>44</v>
      </c>
      <c r="B1010" s="2" t="str">
        <f>"郑怡"</f>
        <v>郑怡</v>
      </c>
      <c r="C1010" s="2" t="str">
        <f>"女"</f>
        <v>女</v>
      </c>
      <c r="D1010" s="2" t="str">
        <f>"1999-08-26"</f>
        <v>1999-08-26</v>
      </c>
    </row>
    <row r="1011" spans="1:4" ht="15.75" customHeight="1" x14ac:dyDescent="0.2">
      <c r="A1011" s="2" t="s">
        <v>13</v>
      </c>
      <c r="B1011" s="2" t="str">
        <f>"伍丽凡"</f>
        <v>伍丽凡</v>
      </c>
      <c r="C1011" s="2" t="str">
        <f>"女"</f>
        <v>女</v>
      </c>
      <c r="D1011" s="2" t="str">
        <f>"1995-03-01"</f>
        <v>1995-03-01</v>
      </c>
    </row>
    <row r="1012" spans="1:4" ht="15.75" customHeight="1" x14ac:dyDescent="0.2">
      <c r="A1012" s="2" t="s">
        <v>61</v>
      </c>
      <c r="B1012" s="2" t="str">
        <f>"邹子宸"</f>
        <v>邹子宸</v>
      </c>
      <c r="C1012" s="2" t="str">
        <f>"男"</f>
        <v>男</v>
      </c>
      <c r="D1012" s="2" t="str">
        <f>"1998-01-20"</f>
        <v>1998-01-20</v>
      </c>
    </row>
    <row r="1013" spans="1:4" ht="15.75" customHeight="1" x14ac:dyDescent="0.2">
      <c r="A1013" s="2" t="s">
        <v>55</v>
      </c>
      <c r="B1013" s="2" t="str">
        <f>"周辰慕"</f>
        <v>周辰慕</v>
      </c>
      <c r="C1013" s="2" t="str">
        <f>"女"</f>
        <v>女</v>
      </c>
      <c r="D1013" s="2" t="str">
        <f>"1993-03-26"</f>
        <v>1993-03-26</v>
      </c>
    </row>
    <row r="1014" spans="1:4" ht="15.75" customHeight="1" x14ac:dyDescent="0.2">
      <c r="A1014" s="2" t="s">
        <v>8</v>
      </c>
      <c r="B1014" s="2" t="str">
        <f>"姚麟"</f>
        <v>姚麟</v>
      </c>
      <c r="C1014" s="2" t="str">
        <f>"男"</f>
        <v>男</v>
      </c>
      <c r="D1014" s="2" t="str">
        <f>"1995-08-23"</f>
        <v>1995-08-23</v>
      </c>
    </row>
    <row r="1015" spans="1:4" ht="15.75" customHeight="1" x14ac:dyDescent="0.2">
      <c r="A1015" s="2" t="s">
        <v>33</v>
      </c>
      <c r="B1015" s="2" t="str">
        <f>"胡子鑫"</f>
        <v>胡子鑫</v>
      </c>
      <c r="C1015" s="2" t="str">
        <f>"男"</f>
        <v>男</v>
      </c>
      <c r="D1015" s="2" t="str">
        <f>"1999-07-22"</f>
        <v>1999-07-22</v>
      </c>
    </row>
    <row r="1016" spans="1:4" ht="15.75" customHeight="1" x14ac:dyDescent="0.2">
      <c r="A1016" s="2" t="s">
        <v>56</v>
      </c>
      <c r="B1016" s="2" t="str">
        <f>"周玉奇"</f>
        <v>周玉奇</v>
      </c>
      <c r="C1016" s="2" t="str">
        <f>"女"</f>
        <v>女</v>
      </c>
      <c r="D1016" s="2" t="str">
        <f>"1999-04-08"</f>
        <v>1999-04-08</v>
      </c>
    </row>
    <row r="1017" spans="1:4" ht="15.75" customHeight="1" x14ac:dyDescent="0.2">
      <c r="A1017" s="2" t="s">
        <v>57</v>
      </c>
      <c r="B1017" s="2" t="str">
        <f>"罗相欣"</f>
        <v>罗相欣</v>
      </c>
      <c r="C1017" s="2" t="str">
        <f>"女"</f>
        <v>女</v>
      </c>
      <c r="D1017" s="2" t="str">
        <f>"1999-06-07"</f>
        <v>1999-06-07</v>
      </c>
    </row>
    <row r="1018" spans="1:4" ht="15.75" customHeight="1" x14ac:dyDescent="0.2">
      <c r="A1018" s="2" t="s">
        <v>15</v>
      </c>
      <c r="B1018" s="2" t="str">
        <f>"李思翰"</f>
        <v>李思翰</v>
      </c>
      <c r="C1018" s="2" t="str">
        <f>"男"</f>
        <v>男</v>
      </c>
      <c r="D1018" s="2" t="str">
        <f>"1996-09-11"</f>
        <v>1996-09-11</v>
      </c>
    </row>
    <row r="1019" spans="1:4" ht="15.75" customHeight="1" x14ac:dyDescent="0.2">
      <c r="A1019" s="2" t="s">
        <v>33</v>
      </c>
      <c r="B1019" s="2" t="str">
        <f>"蔡静"</f>
        <v>蔡静</v>
      </c>
      <c r="C1019" s="2" t="str">
        <f>"女"</f>
        <v>女</v>
      </c>
      <c r="D1019" s="2" t="str">
        <f>"1990-04-15"</f>
        <v>1990-04-15</v>
      </c>
    </row>
    <row r="1020" spans="1:4" ht="15.75" customHeight="1" x14ac:dyDescent="0.2">
      <c r="A1020" s="2" t="s">
        <v>41</v>
      </c>
      <c r="B1020" s="2" t="str">
        <f>"黄寅先"</f>
        <v>黄寅先</v>
      </c>
      <c r="C1020" s="2" t="str">
        <f>"男"</f>
        <v>男</v>
      </c>
      <c r="D1020" s="2" t="str">
        <f>"1996-10-17"</f>
        <v>1996-10-17</v>
      </c>
    </row>
    <row r="1021" spans="1:4" ht="15.75" customHeight="1" x14ac:dyDescent="0.2">
      <c r="A1021" s="2" t="s">
        <v>24</v>
      </c>
      <c r="B1021" s="2" t="str">
        <f>"周星志"</f>
        <v>周星志</v>
      </c>
      <c r="C1021" s="2" t="str">
        <f>"男"</f>
        <v>男</v>
      </c>
      <c r="D1021" s="2" t="str">
        <f>"1995-08-03"</f>
        <v>1995-08-03</v>
      </c>
    </row>
    <row r="1022" spans="1:4" ht="15.75" customHeight="1" x14ac:dyDescent="0.2">
      <c r="A1022" s="2" t="s">
        <v>56</v>
      </c>
      <c r="B1022" s="2" t="str">
        <f>"毛颖"</f>
        <v>毛颖</v>
      </c>
      <c r="C1022" s="2" t="str">
        <f>"女"</f>
        <v>女</v>
      </c>
      <c r="D1022" s="2" t="str">
        <f>"2001-03-25"</f>
        <v>2001-03-25</v>
      </c>
    </row>
    <row r="1023" spans="1:4" ht="15.75" customHeight="1" x14ac:dyDescent="0.2">
      <c r="A1023" s="2" t="s">
        <v>36</v>
      </c>
      <c r="B1023" s="2" t="str">
        <f>"罗贝娜"</f>
        <v>罗贝娜</v>
      </c>
      <c r="C1023" s="2" t="str">
        <f>"男"</f>
        <v>男</v>
      </c>
      <c r="D1023" s="2" t="str">
        <f>"1999-04-30"</f>
        <v>1999-04-30</v>
      </c>
    </row>
    <row r="1024" spans="1:4" ht="15.75" customHeight="1" x14ac:dyDescent="0.2">
      <c r="A1024" s="2" t="s">
        <v>45</v>
      </c>
      <c r="B1024" s="2" t="str">
        <f>"吴山"</f>
        <v>吴山</v>
      </c>
      <c r="C1024" s="2" t="str">
        <f>"男"</f>
        <v>男</v>
      </c>
      <c r="D1024" s="2" t="str">
        <f>"1993-06-22"</f>
        <v>1993-06-22</v>
      </c>
    </row>
    <row r="1025" spans="1:4" ht="15.75" customHeight="1" x14ac:dyDescent="0.2">
      <c r="A1025" s="2" t="s">
        <v>70</v>
      </c>
      <c r="B1025" s="2" t="str">
        <f>"翁佳豪"</f>
        <v>翁佳豪</v>
      </c>
      <c r="C1025" s="2" t="str">
        <f>"男"</f>
        <v>男</v>
      </c>
      <c r="D1025" s="2" t="str">
        <f>"1992-10-07"</f>
        <v>1992-10-07</v>
      </c>
    </row>
    <row r="1026" spans="1:4" ht="15.75" customHeight="1" x14ac:dyDescent="0.2">
      <c r="A1026" s="2" t="s">
        <v>57</v>
      </c>
      <c r="B1026" s="2" t="str">
        <f>"李明思"</f>
        <v>李明思</v>
      </c>
      <c r="C1026" s="2" t="str">
        <f>"女"</f>
        <v>女</v>
      </c>
      <c r="D1026" s="2" t="str">
        <f>"1999-10-20"</f>
        <v>1999-10-20</v>
      </c>
    </row>
    <row r="1027" spans="1:4" ht="15.75" customHeight="1" x14ac:dyDescent="0.2">
      <c r="A1027" s="2" t="s">
        <v>28</v>
      </c>
      <c r="B1027" s="2" t="str">
        <f>"王志阳"</f>
        <v>王志阳</v>
      </c>
      <c r="C1027" s="2" t="str">
        <f>"女"</f>
        <v>女</v>
      </c>
      <c r="D1027" s="2" t="str">
        <f>"1994-12-21"</f>
        <v>1994-12-21</v>
      </c>
    </row>
    <row r="1028" spans="1:4" ht="15.75" customHeight="1" x14ac:dyDescent="0.2">
      <c r="A1028" s="2" t="s">
        <v>58</v>
      </c>
      <c r="B1028" s="2" t="str">
        <f>"邹京"</f>
        <v>邹京</v>
      </c>
      <c r="C1028" s="2" t="str">
        <f>"女"</f>
        <v>女</v>
      </c>
      <c r="D1028" s="2" t="str">
        <f>"1998-10-26"</f>
        <v>1998-10-26</v>
      </c>
    </row>
    <row r="1029" spans="1:4" ht="15.75" customHeight="1" x14ac:dyDescent="0.2">
      <c r="A1029" s="2" t="s">
        <v>49</v>
      </c>
      <c r="B1029" s="2" t="str">
        <f>"张司岱"</f>
        <v>张司岱</v>
      </c>
      <c r="C1029" s="2" t="str">
        <f>"男"</f>
        <v>男</v>
      </c>
      <c r="D1029" s="2" t="str">
        <f>"1995-02-22"</f>
        <v>1995-02-22</v>
      </c>
    </row>
    <row r="1030" spans="1:4" ht="15.75" customHeight="1" x14ac:dyDescent="0.2">
      <c r="A1030" s="2" t="s">
        <v>14</v>
      </c>
      <c r="B1030" s="2" t="str">
        <f>"易瑞"</f>
        <v>易瑞</v>
      </c>
      <c r="C1030" s="2" t="str">
        <f>"男"</f>
        <v>男</v>
      </c>
      <c r="D1030" s="2" t="str">
        <f>"1996-04-20"</f>
        <v>1996-04-20</v>
      </c>
    </row>
    <row r="1031" spans="1:4" ht="15.75" customHeight="1" x14ac:dyDescent="0.2">
      <c r="A1031" s="2" t="s">
        <v>40</v>
      </c>
      <c r="B1031" s="2" t="str">
        <f>"姜雅馨"</f>
        <v>姜雅馨</v>
      </c>
      <c r="C1031" s="2" t="str">
        <f>"女"</f>
        <v>女</v>
      </c>
      <c r="D1031" s="2" t="str">
        <f>"1992-06-05"</f>
        <v>1992-06-05</v>
      </c>
    </row>
    <row r="1032" spans="1:4" ht="15.75" customHeight="1" x14ac:dyDescent="0.2">
      <c r="A1032" s="2" t="s">
        <v>14</v>
      </c>
      <c r="B1032" s="2" t="str">
        <f>"胡海英"</f>
        <v>胡海英</v>
      </c>
      <c r="C1032" s="2" t="str">
        <f>"女"</f>
        <v>女</v>
      </c>
      <c r="D1032" s="2" t="str">
        <f>"1996-12-22"</f>
        <v>1996-12-22</v>
      </c>
    </row>
    <row r="1033" spans="1:4" ht="15.75" customHeight="1" x14ac:dyDescent="0.2">
      <c r="A1033" s="2" t="s">
        <v>15</v>
      </c>
      <c r="B1033" s="2" t="str">
        <f>"郑思雨"</f>
        <v>郑思雨</v>
      </c>
      <c r="C1033" s="2" t="str">
        <f>"女"</f>
        <v>女</v>
      </c>
      <c r="D1033" s="2" t="str">
        <f>"1999-09-18"</f>
        <v>1999-09-18</v>
      </c>
    </row>
    <row r="1034" spans="1:4" ht="15.75" customHeight="1" x14ac:dyDescent="0.2">
      <c r="A1034" s="2" t="s">
        <v>58</v>
      </c>
      <c r="B1034" s="2" t="str">
        <f>"唐林菊"</f>
        <v>唐林菊</v>
      </c>
      <c r="C1034" s="2" t="str">
        <f>"女"</f>
        <v>女</v>
      </c>
      <c r="D1034" s="2" t="str">
        <f>"1995-06-18"</f>
        <v>1995-06-18</v>
      </c>
    </row>
    <row r="1035" spans="1:4" ht="15.75" customHeight="1" x14ac:dyDescent="0.2">
      <c r="A1035" s="2" t="s">
        <v>49</v>
      </c>
      <c r="B1035" s="2" t="str">
        <f>"周显刚"</f>
        <v>周显刚</v>
      </c>
      <c r="C1035" s="2" t="str">
        <f>"男"</f>
        <v>男</v>
      </c>
      <c r="D1035" s="2" t="str">
        <f>"1994-12-01"</f>
        <v>1994-12-01</v>
      </c>
    </row>
    <row r="1036" spans="1:4" ht="15.75" customHeight="1" x14ac:dyDescent="0.2">
      <c r="A1036" s="2" t="s">
        <v>32</v>
      </c>
      <c r="B1036" s="2" t="str">
        <f>"朱方怡"</f>
        <v>朱方怡</v>
      </c>
      <c r="C1036" s="2" t="str">
        <f>"女"</f>
        <v>女</v>
      </c>
      <c r="D1036" s="2" t="str">
        <f>"1997-04-16"</f>
        <v>1997-04-16</v>
      </c>
    </row>
    <row r="1037" spans="1:4" ht="15.75" customHeight="1" x14ac:dyDescent="0.2">
      <c r="A1037" s="2" t="s">
        <v>13</v>
      </c>
      <c r="B1037" s="2" t="str">
        <f>"张焦"</f>
        <v>张焦</v>
      </c>
      <c r="C1037" s="2" t="str">
        <f>"女"</f>
        <v>女</v>
      </c>
      <c r="D1037" s="2" t="str">
        <f>"1992-03-18"</f>
        <v>1992-03-18</v>
      </c>
    </row>
    <row r="1038" spans="1:4" ht="15.75" customHeight="1" x14ac:dyDescent="0.2">
      <c r="A1038" s="2" t="s">
        <v>23</v>
      </c>
      <c r="B1038" s="2" t="str">
        <f>"李滔"</f>
        <v>李滔</v>
      </c>
      <c r="C1038" s="2" t="str">
        <f>"男"</f>
        <v>男</v>
      </c>
      <c r="D1038" s="2" t="str">
        <f>"1999-04-01"</f>
        <v>1999-04-01</v>
      </c>
    </row>
    <row r="1039" spans="1:4" ht="15.75" customHeight="1" x14ac:dyDescent="0.2">
      <c r="A1039" s="2" t="s">
        <v>17</v>
      </c>
      <c r="B1039" s="2" t="str">
        <f>"何硕勋"</f>
        <v>何硕勋</v>
      </c>
      <c r="C1039" s="2" t="str">
        <f>"男"</f>
        <v>男</v>
      </c>
      <c r="D1039" s="2" t="str">
        <f>"1994-04-13"</f>
        <v>1994-04-13</v>
      </c>
    </row>
    <row r="1040" spans="1:4" ht="15.75" customHeight="1" x14ac:dyDescent="0.2">
      <c r="A1040" s="2" t="s">
        <v>15</v>
      </c>
      <c r="B1040" s="2" t="str">
        <f>"王东威"</f>
        <v>王东威</v>
      </c>
      <c r="C1040" s="2" t="str">
        <f>"男"</f>
        <v>男</v>
      </c>
      <c r="D1040" s="2" t="str">
        <f>"1996-08-31"</f>
        <v>1996-08-31</v>
      </c>
    </row>
    <row r="1041" spans="1:4" ht="15.75" customHeight="1" x14ac:dyDescent="0.2">
      <c r="A1041" s="2" t="s">
        <v>17</v>
      </c>
      <c r="B1041" s="2" t="str">
        <f>"李潇"</f>
        <v>李潇</v>
      </c>
      <c r="C1041" s="2" t="str">
        <f>"男"</f>
        <v>男</v>
      </c>
      <c r="D1041" s="2" t="str">
        <f>"1997-04-05"</f>
        <v>1997-04-05</v>
      </c>
    </row>
    <row r="1042" spans="1:4" ht="15.75" customHeight="1" x14ac:dyDescent="0.2">
      <c r="A1042" s="2" t="s">
        <v>12</v>
      </c>
      <c r="B1042" s="2" t="str">
        <f>"龚铮"</f>
        <v>龚铮</v>
      </c>
      <c r="C1042" s="2" t="str">
        <f>"女"</f>
        <v>女</v>
      </c>
      <c r="D1042" s="2" t="str">
        <f>"1997-04-08"</f>
        <v>1997-04-08</v>
      </c>
    </row>
    <row r="1043" spans="1:4" ht="15.75" customHeight="1" x14ac:dyDescent="0.2">
      <c r="A1043" s="2" t="s">
        <v>41</v>
      </c>
      <c r="B1043" s="2" t="str">
        <f>"聂婷婷"</f>
        <v>聂婷婷</v>
      </c>
      <c r="C1043" s="2" t="str">
        <f>"女"</f>
        <v>女</v>
      </c>
      <c r="D1043" s="2" t="str">
        <f>"1996-09-03"</f>
        <v>1996-09-03</v>
      </c>
    </row>
    <row r="1044" spans="1:4" ht="15.75" customHeight="1" x14ac:dyDescent="0.2">
      <c r="A1044" s="2" t="s">
        <v>59</v>
      </c>
      <c r="B1044" s="2" t="str">
        <f>"文莉"</f>
        <v>文莉</v>
      </c>
      <c r="C1044" s="2" t="str">
        <f>"女"</f>
        <v>女</v>
      </c>
      <c r="D1044" s="2" t="str">
        <f>"1995-01-24"</f>
        <v>1995-01-24</v>
      </c>
    </row>
    <row r="1045" spans="1:4" ht="15.75" customHeight="1" x14ac:dyDescent="0.2">
      <c r="A1045" s="2" t="s">
        <v>36</v>
      </c>
      <c r="B1045" s="2" t="str">
        <f>"刘财鑫"</f>
        <v>刘财鑫</v>
      </c>
      <c r="C1045" s="2" t="str">
        <f t="shared" ref="C1045:C1051" si="17">"男"</f>
        <v>男</v>
      </c>
      <c r="D1045" s="2" t="str">
        <f>"1999-04-21"</f>
        <v>1999-04-21</v>
      </c>
    </row>
    <row r="1046" spans="1:4" ht="15.75" customHeight="1" x14ac:dyDescent="0.2">
      <c r="A1046" s="2" t="s">
        <v>24</v>
      </c>
      <c r="B1046" s="2" t="str">
        <f>"庞景徽"</f>
        <v>庞景徽</v>
      </c>
      <c r="C1046" s="2" t="str">
        <f t="shared" si="17"/>
        <v>男</v>
      </c>
      <c r="D1046" s="2" t="str">
        <f>"1987-07-28"</f>
        <v>1987-07-28</v>
      </c>
    </row>
    <row r="1047" spans="1:4" ht="15.75" customHeight="1" x14ac:dyDescent="0.2">
      <c r="A1047" s="2" t="s">
        <v>8</v>
      </c>
      <c r="B1047" s="2" t="str">
        <f>"汪平"</f>
        <v>汪平</v>
      </c>
      <c r="C1047" s="2" t="str">
        <f t="shared" si="17"/>
        <v>男</v>
      </c>
      <c r="D1047" s="2" t="str">
        <f>"1990-01-23"</f>
        <v>1990-01-23</v>
      </c>
    </row>
    <row r="1048" spans="1:4" ht="15.75" customHeight="1" x14ac:dyDescent="0.2">
      <c r="A1048" s="2" t="s">
        <v>42</v>
      </c>
      <c r="B1048" s="2" t="str">
        <f>"刘正义"</f>
        <v>刘正义</v>
      </c>
      <c r="C1048" s="2" t="str">
        <f t="shared" si="17"/>
        <v>男</v>
      </c>
      <c r="D1048" s="2" t="str">
        <f>"1994-02-18"</f>
        <v>1994-02-18</v>
      </c>
    </row>
    <row r="1049" spans="1:4" ht="15.75" customHeight="1" x14ac:dyDescent="0.2">
      <c r="A1049" s="2" t="s">
        <v>48</v>
      </c>
      <c r="B1049" s="2" t="str">
        <f>"陈果"</f>
        <v>陈果</v>
      </c>
      <c r="C1049" s="2" t="str">
        <f t="shared" si="17"/>
        <v>男</v>
      </c>
      <c r="D1049" s="2" t="str">
        <f>"1986-05-30"</f>
        <v>1986-05-30</v>
      </c>
    </row>
    <row r="1050" spans="1:4" ht="15.75" customHeight="1" x14ac:dyDescent="0.2">
      <c r="A1050" s="2" t="s">
        <v>19</v>
      </c>
      <c r="B1050" s="2" t="str">
        <f>"傅昱翔"</f>
        <v>傅昱翔</v>
      </c>
      <c r="C1050" s="2" t="str">
        <f t="shared" si="17"/>
        <v>男</v>
      </c>
      <c r="D1050" s="2" t="str">
        <f>"1995-02-05"</f>
        <v>1995-02-05</v>
      </c>
    </row>
    <row r="1051" spans="1:4" ht="15.75" customHeight="1" x14ac:dyDescent="0.2">
      <c r="A1051" s="2" t="s">
        <v>14</v>
      </c>
      <c r="B1051" s="2" t="str">
        <f>"钱仕勇"</f>
        <v>钱仕勇</v>
      </c>
      <c r="C1051" s="2" t="str">
        <f t="shared" si="17"/>
        <v>男</v>
      </c>
      <c r="D1051" s="2" t="str">
        <f>"1989-11-06"</f>
        <v>1989-11-06</v>
      </c>
    </row>
    <row r="1052" spans="1:4" ht="15.75" customHeight="1" x14ac:dyDescent="0.2">
      <c r="A1052" s="2" t="s">
        <v>15</v>
      </c>
      <c r="B1052" s="2" t="str">
        <f>"汪梦娇"</f>
        <v>汪梦娇</v>
      </c>
      <c r="C1052" s="2" t="str">
        <f>"女"</f>
        <v>女</v>
      </c>
      <c r="D1052" s="2" t="str">
        <f>"1998-02-06"</f>
        <v>1998-02-06</v>
      </c>
    </row>
    <row r="1053" spans="1:4" ht="15.75" customHeight="1" x14ac:dyDescent="0.2">
      <c r="A1053" s="2" t="s">
        <v>17</v>
      </c>
      <c r="B1053" s="2" t="str">
        <f>"向昭源"</f>
        <v>向昭源</v>
      </c>
      <c r="C1053" s="2" t="str">
        <f>"男"</f>
        <v>男</v>
      </c>
      <c r="D1053" s="2" t="str">
        <f>"1997-04-11"</f>
        <v>1997-04-11</v>
      </c>
    </row>
    <row r="1054" spans="1:4" ht="15.75" customHeight="1" x14ac:dyDescent="0.2">
      <c r="A1054" s="2" t="s">
        <v>8</v>
      </c>
      <c r="B1054" s="2" t="str">
        <f>"杨仕基"</f>
        <v>杨仕基</v>
      </c>
      <c r="C1054" s="2" t="str">
        <f>"男"</f>
        <v>男</v>
      </c>
      <c r="D1054" s="2" t="str">
        <f>"1997-01-30"</f>
        <v>1997-01-30</v>
      </c>
    </row>
    <row r="1055" spans="1:4" ht="15.75" customHeight="1" x14ac:dyDescent="0.2">
      <c r="A1055" s="2" t="s">
        <v>54</v>
      </c>
      <c r="B1055" s="2" t="str">
        <f>"符澜"</f>
        <v>符澜</v>
      </c>
      <c r="C1055" s="2" t="str">
        <f>"男"</f>
        <v>男</v>
      </c>
      <c r="D1055" s="2" t="str">
        <f>"1994-04-12"</f>
        <v>1994-04-12</v>
      </c>
    </row>
    <row r="1056" spans="1:4" ht="15.75" customHeight="1" x14ac:dyDescent="0.2">
      <c r="A1056" s="2" t="s">
        <v>61</v>
      </c>
      <c r="B1056" s="2" t="str">
        <f>"胡中"</f>
        <v>胡中</v>
      </c>
      <c r="C1056" s="2" t="str">
        <f>"女"</f>
        <v>女</v>
      </c>
      <c r="D1056" s="2" t="str">
        <f>"1996-02-26"</f>
        <v>1996-02-26</v>
      </c>
    </row>
    <row r="1057" spans="1:4" ht="15.75" customHeight="1" x14ac:dyDescent="0.2">
      <c r="A1057" s="2" t="s">
        <v>54</v>
      </c>
      <c r="B1057" s="2" t="str">
        <f>"宋毅"</f>
        <v>宋毅</v>
      </c>
      <c r="C1057" s="2" t="str">
        <f>"男"</f>
        <v>男</v>
      </c>
      <c r="D1057" s="2" t="str">
        <f>"1995-12-08"</f>
        <v>1995-12-08</v>
      </c>
    </row>
    <row r="1058" spans="1:4" ht="15.75" customHeight="1" x14ac:dyDescent="0.2">
      <c r="A1058" s="2" t="s">
        <v>37</v>
      </c>
      <c r="B1058" s="2" t="str">
        <f>"全峰"</f>
        <v>全峰</v>
      </c>
      <c r="C1058" s="2" t="str">
        <f>"男"</f>
        <v>男</v>
      </c>
      <c r="D1058" s="2" t="str">
        <f>"1992-10-26"</f>
        <v>1992-10-26</v>
      </c>
    </row>
    <row r="1059" spans="1:4" ht="15.75" customHeight="1" x14ac:dyDescent="0.2">
      <c r="A1059" s="2" t="s">
        <v>34</v>
      </c>
      <c r="B1059" s="2" t="str">
        <f>"彭雅琴"</f>
        <v>彭雅琴</v>
      </c>
      <c r="C1059" s="2" t="str">
        <f>"女"</f>
        <v>女</v>
      </c>
      <c r="D1059" s="2" t="str">
        <f>"1999-02-01"</f>
        <v>1999-02-01</v>
      </c>
    </row>
    <row r="1060" spans="1:4" ht="15.75" customHeight="1" x14ac:dyDescent="0.2">
      <c r="A1060" s="2" t="s">
        <v>41</v>
      </c>
      <c r="B1060" s="2" t="str">
        <f>"向苗苗"</f>
        <v>向苗苗</v>
      </c>
      <c r="C1060" s="2" t="str">
        <f>"女"</f>
        <v>女</v>
      </c>
      <c r="D1060" s="2" t="str">
        <f>"1996-10-05"</f>
        <v>1996-10-05</v>
      </c>
    </row>
    <row r="1061" spans="1:4" ht="15.75" customHeight="1" x14ac:dyDescent="0.2">
      <c r="A1061" s="2" t="s">
        <v>32</v>
      </c>
      <c r="B1061" s="2" t="str">
        <f>"宋林娟"</f>
        <v>宋林娟</v>
      </c>
      <c r="C1061" s="2" t="str">
        <f>"女"</f>
        <v>女</v>
      </c>
      <c r="D1061" s="2" t="str">
        <f>"1997-02-14"</f>
        <v>1997-02-14</v>
      </c>
    </row>
    <row r="1062" spans="1:4" ht="15.75" customHeight="1" x14ac:dyDescent="0.2">
      <c r="A1062" s="2" t="s">
        <v>15</v>
      </c>
      <c r="B1062" s="2" t="str">
        <f>"徐梦媛"</f>
        <v>徐梦媛</v>
      </c>
      <c r="C1062" s="2" t="str">
        <f>"女"</f>
        <v>女</v>
      </c>
      <c r="D1062" s="2" t="str">
        <f>"1996-06-29"</f>
        <v>1996-06-29</v>
      </c>
    </row>
    <row r="1063" spans="1:4" ht="15.75" customHeight="1" x14ac:dyDescent="0.2">
      <c r="A1063" s="2" t="s">
        <v>14</v>
      </c>
      <c r="B1063" s="2" t="str">
        <f>"胡植乔"</f>
        <v>胡植乔</v>
      </c>
      <c r="C1063" s="2" t="str">
        <f>"男"</f>
        <v>男</v>
      </c>
      <c r="D1063" s="2" t="str">
        <f>"1998-08-23"</f>
        <v>1998-08-23</v>
      </c>
    </row>
    <row r="1064" spans="1:4" ht="15.75" customHeight="1" x14ac:dyDescent="0.2">
      <c r="A1064" s="2" t="s">
        <v>34</v>
      </c>
      <c r="B1064" s="2" t="str">
        <f>"盛东"</f>
        <v>盛东</v>
      </c>
      <c r="C1064" s="2" t="str">
        <f>"男"</f>
        <v>男</v>
      </c>
      <c r="D1064" s="2" t="str">
        <f>"1995-09-16"</f>
        <v>1995-09-16</v>
      </c>
    </row>
    <row r="1065" spans="1:4" ht="15.75" customHeight="1" x14ac:dyDescent="0.2">
      <c r="A1065" s="2" t="s">
        <v>48</v>
      </c>
      <c r="B1065" s="2" t="str">
        <f>"谭方"</f>
        <v>谭方</v>
      </c>
      <c r="C1065" s="2" t="str">
        <f>"男"</f>
        <v>男</v>
      </c>
      <c r="D1065" s="2" t="str">
        <f>"1992-04-07"</f>
        <v>1992-04-07</v>
      </c>
    </row>
    <row r="1066" spans="1:4" ht="15.75" customHeight="1" x14ac:dyDescent="0.2">
      <c r="A1066" s="2" t="s">
        <v>9</v>
      </c>
      <c r="B1066" s="2" t="str">
        <f>"戴信志"</f>
        <v>戴信志</v>
      </c>
      <c r="C1066" s="2" t="str">
        <f>"男"</f>
        <v>男</v>
      </c>
      <c r="D1066" s="2" t="str">
        <f>"1999-07-11"</f>
        <v>1999-07-11</v>
      </c>
    </row>
    <row r="1067" spans="1:4" ht="15.75" customHeight="1" x14ac:dyDescent="0.2">
      <c r="A1067" s="2" t="s">
        <v>29</v>
      </c>
      <c r="B1067" s="2" t="str">
        <f>"曹奕"</f>
        <v>曹奕</v>
      </c>
      <c r="C1067" s="2" t="str">
        <f>"女"</f>
        <v>女</v>
      </c>
      <c r="D1067" s="2" t="str">
        <f>"1998-11-20"</f>
        <v>1998-11-20</v>
      </c>
    </row>
    <row r="1068" spans="1:4" ht="15.75" customHeight="1" x14ac:dyDescent="0.2">
      <c r="A1068" s="2" t="s">
        <v>41</v>
      </c>
      <c r="B1068" s="2" t="str">
        <f>"雷蓓蓓"</f>
        <v>雷蓓蓓</v>
      </c>
      <c r="C1068" s="2" t="str">
        <f>"女"</f>
        <v>女</v>
      </c>
      <c r="D1068" s="2" t="str">
        <f>"1997-05-09"</f>
        <v>1997-05-09</v>
      </c>
    </row>
    <row r="1069" spans="1:4" ht="15.75" customHeight="1" x14ac:dyDescent="0.2">
      <c r="A1069" s="2" t="s">
        <v>61</v>
      </c>
      <c r="B1069" s="2" t="str">
        <f>"卢海波"</f>
        <v>卢海波</v>
      </c>
      <c r="C1069" s="2" t="str">
        <f>"男"</f>
        <v>男</v>
      </c>
      <c r="D1069" s="2" t="str">
        <f>"1997-03-14"</f>
        <v>1997-03-14</v>
      </c>
    </row>
    <row r="1070" spans="1:4" ht="15.75" customHeight="1" x14ac:dyDescent="0.2">
      <c r="A1070" s="2" t="s">
        <v>15</v>
      </c>
      <c r="B1070" s="2" t="str">
        <f>"龚维"</f>
        <v>龚维</v>
      </c>
      <c r="C1070" s="2" t="str">
        <f>"男"</f>
        <v>男</v>
      </c>
      <c r="D1070" s="2" t="str">
        <f>"1998-08-16"</f>
        <v>1998-08-16</v>
      </c>
    </row>
    <row r="1071" spans="1:4" ht="15.75" customHeight="1" x14ac:dyDescent="0.2">
      <c r="A1071" s="2" t="s">
        <v>51</v>
      </c>
      <c r="B1071" s="2" t="str">
        <f>"张桂兰"</f>
        <v>张桂兰</v>
      </c>
      <c r="C1071" s="2" t="str">
        <f>"女"</f>
        <v>女</v>
      </c>
      <c r="D1071" s="2" t="str">
        <f>"1994-08-06"</f>
        <v>1994-08-06</v>
      </c>
    </row>
    <row r="1072" spans="1:4" ht="15.75" customHeight="1" x14ac:dyDescent="0.2">
      <c r="A1072" s="2" t="s">
        <v>11</v>
      </c>
      <c r="B1072" s="2" t="str">
        <f>"肖骊利"</f>
        <v>肖骊利</v>
      </c>
      <c r="C1072" s="2" t="str">
        <f>"男"</f>
        <v>男</v>
      </c>
      <c r="D1072" s="2" t="str">
        <f>"1994-05-20"</f>
        <v>1994-05-20</v>
      </c>
    </row>
    <row r="1073" spans="1:4" ht="15.75" customHeight="1" x14ac:dyDescent="0.2">
      <c r="A1073" s="2" t="s">
        <v>55</v>
      </c>
      <c r="B1073" s="2" t="str">
        <f>"谷羽"</f>
        <v>谷羽</v>
      </c>
      <c r="C1073" s="2" t="str">
        <f>"女"</f>
        <v>女</v>
      </c>
      <c r="D1073" s="2" t="str">
        <f>"1993-11-14"</f>
        <v>1993-11-14</v>
      </c>
    </row>
    <row r="1074" spans="1:4" ht="15.75" customHeight="1" x14ac:dyDescent="0.2">
      <c r="A1074" s="2" t="s">
        <v>9</v>
      </c>
      <c r="B1074" s="2" t="str">
        <f>"刘忆南"</f>
        <v>刘忆南</v>
      </c>
      <c r="C1074" s="2" t="str">
        <f>"女"</f>
        <v>女</v>
      </c>
      <c r="D1074" s="2" t="str">
        <f>"1998-10-09"</f>
        <v>1998-10-09</v>
      </c>
    </row>
    <row r="1075" spans="1:4" ht="15.75" customHeight="1" x14ac:dyDescent="0.2">
      <c r="A1075" s="2" t="s">
        <v>49</v>
      </c>
      <c r="B1075" s="2" t="str">
        <f>"贺龙腾"</f>
        <v>贺龙腾</v>
      </c>
      <c r="C1075" s="2" t="str">
        <f>"男"</f>
        <v>男</v>
      </c>
      <c r="D1075" s="2" t="str">
        <f>"1999-10-01"</f>
        <v>1999-10-01</v>
      </c>
    </row>
    <row r="1076" spans="1:4" ht="15.75" customHeight="1" x14ac:dyDescent="0.2">
      <c r="A1076" s="2" t="s">
        <v>36</v>
      </c>
      <c r="B1076" s="2" t="str">
        <f>"陈梦思"</f>
        <v>陈梦思</v>
      </c>
      <c r="C1076" s="2" t="str">
        <f>"女"</f>
        <v>女</v>
      </c>
      <c r="D1076" s="2" t="str">
        <f>"1998-03-10"</f>
        <v>1998-03-10</v>
      </c>
    </row>
    <row r="1077" spans="1:4" ht="15.75" customHeight="1" x14ac:dyDescent="0.2">
      <c r="A1077" s="2" t="s">
        <v>36</v>
      </c>
      <c r="B1077" s="2" t="str">
        <f>"黄星"</f>
        <v>黄星</v>
      </c>
      <c r="C1077" s="2" t="str">
        <f>"男"</f>
        <v>男</v>
      </c>
      <c r="D1077" s="2" t="str">
        <f>"1995-02-08"</f>
        <v>1995-02-08</v>
      </c>
    </row>
    <row r="1078" spans="1:4" ht="15.75" customHeight="1" x14ac:dyDescent="0.2">
      <c r="A1078" s="2" t="s">
        <v>31</v>
      </c>
      <c r="B1078" s="2" t="str">
        <f>"孙丽芳"</f>
        <v>孙丽芳</v>
      </c>
      <c r="C1078" s="2" t="str">
        <f>"女"</f>
        <v>女</v>
      </c>
      <c r="D1078" s="2" t="str">
        <f>"1991-11-12"</f>
        <v>1991-11-12</v>
      </c>
    </row>
    <row r="1079" spans="1:4" ht="15.75" customHeight="1" x14ac:dyDescent="0.2">
      <c r="A1079" s="2" t="s">
        <v>70</v>
      </c>
      <c r="B1079" s="2" t="str">
        <f>"马婷秀"</f>
        <v>马婷秀</v>
      </c>
      <c r="C1079" s="2" t="str">
        <f>"女"</f>
        <v>女</v>
      </c>
      <c r="D1079" s="2" t="str">
        <f>"1996-11-15"</f>
        <v>1996-11-15</v>
      </c>
    </row>
    <row r="1080" spans="1:4" ht="15.75" customHeight="1" x14ac:dyDescent="0.2">
      <c r="A1080" s="2" t="s">
        <v>14</v>
      </c>
      <c r="B1080" s="2" t="str">
        <f>"黄静"</f>
        <v>黄静</v>
      </c>
      <c r="C1080" s="2" t="str">
        <f>"女"</f>
        <v>女</v>
      </c>
      <c r="D1080" s="2" t="str">
        <f>"1995-03-25"</f>
        <v>1995-03-25</v>
      </c>
    </row>
    <row r="1081" spans="1:4" ht="15.75" customHeight="1" x14ac:dyDescent="0.2">
      <c r="A1081" s="2" t="s">
        <v>30</v>
      </c>
      <c r="B1081" s="2" t="str">
        <f>"贺潇"</f>
        <v>贺潇</v>
      </c>
      <c r="C1081" s="2" t="str">
        <f>"男"</f>
        <v>男</v>
      </c>
      <c r="D1081" s="2" t="str">
        <f>"1988-08-20"</f>
        <v>1988-08-20</v>
      </c>
    </row>
    <row r="1082" spans="1:4" ht="15.75" customHeight="1" x14ac:dyDescent="0.2">
      <c r="A1082" s="2" t="s">
        <v>24</v>
      </c>
      <c r="B1082" s="2" t="str">
        <f>"龙文晶"</f>
        <v>龙文晶</v>
      </c>
      <c r="C1082" s="2" t="str">
        <f>"女"</f>
        <v>女</v>
      </c>
      <c r="D1082" s="2" t="str">
        <f>"1996-12-21"</f>
        <v>1996-12-21</v>
      </c>
    </row>
    <row r="1083" spans="1:4" ht="15.75" customHeight="1" x14ac:dyDescent="0.2">
      <c r="A1083" s="2" t="s">
        <v>44</v>
      </c>
      <c r="B1083" s="2" t="str">
        <f>"郭钮"</f>
        <v>郭钮</v>
      </c>
      <c r="C1083" s="2" t="str">
        <f>"男"</f>
        <v>男</v>
      </c>
      <c r="D1083" s="2" t="str">
        <f>"1996-05-07"</f>
        <v>1996-05-07</v>
      </c>
    </row>
    <row r="1084" spans="1:4" ht="15.75" customHeight="1" x14ac:dyDescent="0.2">
      <c r="A1084" s="2" t="s">
        <v>25</v>
      </c>
      <c r="B1084" s="2" t="str">
        <f>"任丹"</f>
        <v>任丹</v>
      </c>
      <c r="C1084" s="2" t="str">
        <f>"女"</f>
        <v>女</v>
      </c>
      <c r="D1084" s="2" t="str">
        <f>"1986-06-01"</f>
        <v>1986-06-01</v>
      </c>
    </row>
    <row r="1085" spans="1:4" ht="15.75" customHeight="1" x14ac:dyDescent="0.2">
      <c r="A1085" s="2" t="s">
        <v>24</v>
      </c>
      <c r="B1085" s="2" t="str">
        <f>"徐乾"</f>
        <v>徐乾</v>
      </c>
      <c r="C1085" s="2" t="str">
        <f>"男"</f>
        <v>男</v>
      </c>
      <c r="D1085" s="2" t="str">
        <f>"1987-07-08"</f>
        <v>1987-07-08</v>
      </c>
    </row>
    <row r="1086" spans="1:4" ht="15.75" customHeight="1" x14ac:dyDescent="0.2">
      <c r="A1086" s="2" t="s">
        <v>28</v>
      </c>
      <c r="B1086" s="2" t="str">
        <f>"王晨慧"</f>
        <v>王晨慧</v>
      </c>
      <c r="C1086" s="2" t="str">
        <f>"女"</f>
        <v>女</v>
      </c>
      <c r="D1086" s="2" t="str">
        <f>"1996-10-30"</f>
        <v>1996-10-30</v>
      </c>
    </row>
    <row r="1087" spans="1:4" ht="15.75" customHeight="1" x14ac:dyDescent="0.2">
      <c r="A1087" s="2" t="s">
        <v>14</v>
      </c>
      <c r="B1087" s="2" t="str">
        <f>"尚秋丽"</f>
        <v>尚秋丽</v>
      </c>
      <c r="C1087" s="2" t="str">
        <f>"女"</f>
        <v>女</v>
      </c>
      <c r="D1087" s="2" t="str">
        <f>"1996-09-12"</f>
        <v>1996-09-12</v>
      </c>
    </row>
    <row r="1088" spans="1:4" ht="15.75" customHeight="1" x14ac:dyDescent="0.2">
      <c r="A1088" s="2" t="s">
        <v>31</v>
      </c>
      <c r="B1088" s="2" t="str">
        <f>"胡蒙蒙"</f>
        <v>胡蒙蒙</v>
      </c>
      <c r="C1088" s="2" t="str">
        <f>"女"</f>
        <v>女</v>
      </c>
      <c r="D1088" s="2" t="str">
        <f>"1992-07-17"</f>
        <v>1992-07-17</v>
      </c>
    </row>
    <row r="1089" spans="1:4" ht="15.75" customHeight="1" x14ac:dyDescent="0.2">
      <c r="A1089" s="2" t="s">
        <v>29</v>
      </c>
      <c r="B1089" s="2" t="str">
        <f>"张琪园"</f>
        <v>张琪园</v>
      </c>
      <c r="C1089" s="2" t="str">
        <f>"女"</f>
        <v>女</v>
      </c>
      <c r="D1089" s="2" t="str">
        <f>"1995-06-29"</f>
        <v>1995-06-29</v>
      </c>
    </row>
    <row r="1090" spans="1:4" ht="15.75" customHeight="1" x14ac:dyDescent="0.2">
      <c r="A1090" s="2" t="s">
        <v>41</v>
      </c>
      <c r="B1090" s="2" t="str">
        <f>"孟傅琛"</f>
        <v>孟傅琛</v>
      </c>
      <c r="C1090" s="2" t="str">
        <f>"男"</f>
        <v>男</v>
      </c>
      <c r="D1090" s="2" t="str">
        <f>"1998-08-10"</f>
        <v>1998-08-10</v>
      </c>
    </row>
    <row r="1091" spans="1:4" ht="15.75" customHeight="1" x14ac:dyDescent="0.2">
      <c r="A1091" s="2" t="s">
        <v>31</v>
      </c>
      <c r="B1091" s="2" t="str">
        <f>"沈静"</f>
        <v>沈静</v>
      </c>
      <c r="C1091" s="2" t="str">
        <f>"女"</f>
        <v>女</v>
      </c>
      <c r="D1091" s="2" t="str">
        <f>"1993-01-25"</f>
        <v>1993-01-25</v>
      </c>
    </row>
    <row r="1092" spans="1:4" ht="15.75" customHeight="1" x14ac:dyDescent="0.2">
      <c r="A1092" s="2" t="s">
        <v>57</v>
      </c>
      <c r="B1092" s="2" t="str">
        <f>"叶婷"</f>
        <v>叶婷</v>
      </c>
      <c r="C1092" s="2" t="str">
        <f>"女"</f>
        <v>女</v>
      </c>
      <c r="D1092" s="2" t="str">
        <f>"1990-03-09"</f>
        <v>1990-03-09</v>
      </c>
    </row>
    <row r="1093" spans="1:4" ht="15.75" customHeight="1" x14ac:dyDescent="0.2">
      <c r="A1093" s="2" t="s">
        <v>5</v>
      </c>
      <c r="B1093" s="2" t="str">
        <f>"朱浩年"</f>
        <v>朱浩年</v>
      </c>
      <c r="C1093" s="2" t="str">
        <f>"男"</f>
        <v>男</v>
      </c>
      <c r="D1093" s="2" t="str">
        <f>"1996-06-27"</f>
        <v>1996-06-27</v>
      </c>
    </row>
    <row r="1094" spans="1:4" ht="15.75" customHeight="1" x14ac:dyDescent="0.2">
      <c r="A1094" s="2" t="s">
        <v>63</v>
      </c>
      <c r="B1094" s="2" t="str">
        <f>"张梦悦"</f>
        <v>张梦悦</v>
      </c>
      <c r="C1094" s="2" t="str">
        <f>"女"</f>
        <v>女</v>
      </c>
      <c r="D1094" s="2" t="str">
        <f>"1997-09-27"</f>
        <v>1997-09-27</v>
      </c>
    </row>
    <row r="1095" spans="1:4" ht="15.75" customHeight="1" x14ac:dyDescent="0.2">
      <c r="A1095" s="2" t="s">
        <v>36</v>
      </c>
      <c r="B1095" s="2" t="str">
        <f>"龚成"</f>
        <v>龚成</v>
      </c>
      <c r="C1095" s="2" t="str">
        <f>"男"</f>
        <v>男</v>
      </c>
      <c r="D1095" s="2" t="str">
        <f>"1998-03-07"</f>
        <v>1998-03-07</v>
      </c>
    </row>
    <row r="1096" spans="1:4" ht="15.75" customHeight="1" x14ac:dyDescent="0.2">
      <c r="A1096" s="2" t="s">
        <v>26</v>
      </c>
      <c r="B1096" s="2" t="str">
        <f>"胡鹏蓝"</f>
        <v>胡鹏蓝</v>
      </c>
      <c r="C1096" s="2" t="str">
        <f>"男"</f>
        <v>男</v>
      </c>
      <c r="D1096" s="2" t="str">
        <f>"1993-07-19"</f>
        <v>1993-07-19</v>
      </c>
    </row>
    <row r="1097" spans="1:4" ht="15.75" customHeight="1" x14ac:dyDescent="0.2">
      <c r="A1097" s="2" t="s">
        <v>20</v>
      </c>
      <c r="B1097" s="2" t="str">
        <f>"宋贤志"</f>
        <v>宋贤志</v>
      </c>
      <c r="C1097" s="2" t="str">
        <f>"女"</f>
        <v>女</v>
      </c>
      <c r="D1097" s="2" t="str">
        <f>"1995-06-30"</f>
        <v>1995-06-30</v>
      </c>
    </row>
    <row r="1098" spans="1:4" ht="15.75" customHeight="1" x14ac:dyDescent="0.2">
      <c r="A1098" s="2" t="s">
        <v>65</v>
      </c>
      <c r="B1098" s="2" t="str">
        <f>"杨清"</f>
        <v>杨清</v>
      </c>
      <c r="C1098" s="2" t="str">
        <f>"女"</f>
        <v>女</v>
      </c>
      <c r="D1098" s="2" t="str">
        <f>"1996-12-12"</f>
        <v>1996-12-12</v>
      </c>
    </row>
    <row r="1099" spans="1:4" ht="15.75" customHeight="1" x14ac:dyDescent="0.2">
      <c r="A1099" s="2" t="s">
        <v>24</v>
      </c>
      <c r="B1099" s="2" t="str">
        <f>"苏蓉"</f>
        <v>苏蓉</v>
      </c>
      <c r="C1099" s="2" t="str">
        <f>"女"</f>
        <v>女</v>
      </c>
      <c r="D1099" s="2" t="str">
        <f>"1990-10-27"</f>
        <v>1990-10-27</v>
      </c>
    </row>
    <row r="1100" spans="1:4" ht="15.75" customHeight="1" x14ac:dyDescent="0.2">
      <c r="A1100" s="2" t="s">
        <v>24</v>
      </c>
      <c r="B1100" s="2" t="str">
        <f>"莫君"</f>
        <v>莫君</v>
      </c>
      <c r="C1100" s="2" t="str">
        <f>"男"</f>
        <v>男</v>
      </c>
      <c r="D1100" s="2" t="str">
        <f>"1989-09-19"</f>
        <v>1989-09-19</v>
      </c>
    </row>
    <row r="1101" spans="1:4" ht="15.75" customHeight="1" x14ac:dyDescent="0.2">
      <c r="A1101" s="2" t="s">
        <v>10</v>
      </c>
      <c r="B1101" s="2" t="str">
        <f>"王子莹"</f>
        <v>王子莹</v>
      </c>
      <c r="C1101" s="2" t="str">
        <f>"女"</f>
        <v>女</v>
      </c>
      <c r="D1101" s="2" t="str">
        <f>"1997-08-18"</f>
        <v>1997-08-18</v>
      </c>
    </row>
    <row r="1102" spans="1:4" ht="15.75" customHeight="1" x14ac:dyDescent="0.2">
      <c r="A1102" s="2" t="s">
        <v>30</v>
      </c>
      <c r="B1102" s="2" t="str">
        <f>"孙国庆"</f>
        <v>孙国庆</v>
      </c>
      <c r="C1102" s="2" t="str">
        <f>"男"</f>
        <v>男</v>
      </c>
      <c r="D1102" s="2" t="str">
        <f>"1987-08-09"</f>
        <v>1987-08-09</v>
      </c>
    </row>
    <row r="1103" spans="1:4" ht="15.75" customHeight="1" x14ac:dyDescent="0.2">
      <c r="A1103" s="2" t="s">
        <v>59</v>
      </c>
      <c r="B1103" s="2" t="str">
        <f>"吕荣华"</f>
        <v>吕荣华</v>
      </c>
      <c r="C1103" s="2" t="str">
        <f>"女"</f>
        <v>女</v>
      </c>
      <c r="D1103" s="2" t="str">
        <f>"1996-10-26"</f>
        <v>1996-10-26</v>
      </c>
    </row>
    <row r="1104" spans="1:4" ht="15.75" customHeight="1" x14ac:dyDescent="0.2">
      <c r="A1104" s="2" t="s">
        <v>17</v>
      </c>
      <c r="B1104" s="2" t="str">
        <f>"鲁贤"</f>
        <v>鲁贤</v>
      </c>
      <c r="C1104" s="2" t="str">
        <f>"男"</f>
        <v>男</v>
      </c>
      <c r="D1104" s="2" t="str">
        <f>"1991-11-02"</f>
        <v>1991-11-02</v>
      </c>
    </row>
    <row r="1105" spans="1:4" ht="15.75" customHeight="1" x14ac:dyDescent="0.2">
      <c r="A1105" s="2" t="s">
        <v>10</v>
      </c>
      <c r="B1105" s="2" t="str">
        <f>"陈永翔"</f>
        <v>陈永翔</v>
      </c>
      <c r="C1105" s="2" t="str">
        <f>"男"</f>
        <v>男</v>
      </c>
      <c r="D1105" s="2" t="str">
        <f>"1997-09-14"</f>
        <v>1997-09-14</v>
      </c>
    </row>
    <row r="1106" spans="1:4" ht="15.75" customHeight="1" x14ac:dyDescent="0.2">
      <c r="A1106" s="2" t="s">
        <v>14</v>
      </c>
      <c r="B1106" s="2" t="str">
        <f>"方贻胜"</f>
        <v>方贻胜</v>
      </c>
      <c r="C1106" s="2" t="str">
        <f>"男"</f>
        <v>男</v>
      </c>
      <c r="D1106" s="2" t="str">
        <f>"1990-11-29"</f>
        <v>1990-11-29</v>
      </c>
    </row>
    <row r="1107" spans="1:4" ht="15.75" customHeight="1" x14ac:dyDescent="0.2">
      <c r="A1107" s="2" t="s">
        <v>10</v>
      </c>
      <c r="B1107" s="2" t="str">
        <f>"王子明"</f>
        <v>王子明</v>
      </c>
      <c r="C1107" s="2" t="str">
        <f>"女"</f>
        <v>女</v>
      </c>
      <c r="D1107" s="2" t="str">
        <f>"1997-11-18"</f>
        <v>1997-11-18</v>
      </c>
    </row>
    <row r="1108" spans="1:4" ht="15.75" customHeight="1" x14ac:dyDescent="0.2">
      <c r="A1108" s="2" t="s">
        <v>24</v>
      </c>
      <c r="B1108" s="2" t="str">
        <f>"黄飞超"</f>
        <v>黄飞超</v>
      </c>
      <c r="C1108" s="2" t="str">
        <f>"男"</f>
        <v>男</v>
      </c>
      <c r="D1108" s="2" t="str">
        <f>"1995-11-29"</f>
        <v>1995-11-29</v>
      </c>
    </row>
    <row r="1109" spans="1:4" ht="15.75" customHeight="1" x14ac:dyDescent="0.2">
      <c r="A1109" s="2" t="s">
        <v>50</v>
      </c>
      <c r="B1109" s="2" t="str">
        <f>"熊迪旻"</f>
        <v>熊迪旻</v>
      </c>
      <c r="C1109" s="2" t="str">
        <f>"男"</f>
        <v>男</v>
      </c>
      <c r="D1109" s="2" t="str">
        <f>"1995-10-23"</f>
        <v>1995-10-23</v>
      </c>
    </row>
    <row r="1110" spans="1:4" ht="15.75" customHeight="1" x14ac:dyDescent="0.2">
      <c r="A1110" s="2" t="s">
        <v>29</v>
      </c>
      <c r="B1110" s="2" t="str">
        <f>"尹琴"</f>
        <v>尹琴</v>
      </c>
      <c r="C1110" s="2" t="str">
        <f>"女"</f>
        <v>女</v>
      </c>
      <c r="D1110" s="2" t="str">
        <f>"1997-06-10"</f>
        <v>1997-06-10</v>
      </c>
    </row>
    <row r="1111" spans="1:4" ht="15.75" customHeight="1" x14ac:dyDescent="0.2">
      <c r="A1111" s="2" t="s">
        <v>29</v>
      </c>
      <c r="B1111" s="2" t="str">
        <f>"葛志豪"</f>
        <v>葛志豪</v>
      </c>
      <c r="C1111" s="2" t="str">
        <f>"男"</f>
        <v>男</v>
      </c>
      <c r="D1111" s="2" t="str">
        <f>"1995-12-22"</f>
        <v>1995-12-22</v>
      </c>
    </row>
    <row r="1112" spans="1:4" ht="15.75" customHeight="1" x14ac:dyDescent="0.2">
      <c r="A1112" s="2" t="s">
        <v>12</v>
      </c>
      <c r="B1112" s="2" t="str">
        <f>"肖楚楚"</f>
        <v>肖楚楚</v>
      </c>
      <c r="C1112" s="2" t="str">
        <f>"女"</f>
        <v>女</v>
      </c>
      <c r="D1112" s="2" t="str">
        <f>"1990-11-24"</f>
        <v>1990-11-24</v>
      </c>
    </row>
    <row r="1113" spans="1:4" ht="15.75" customHeight="1" x14ac:dyDescent="0.2">
      <c r="A1113" s="2" t="s">
        <v>16</v>
      </c>
      <c r="B1113" s="2" t="str">
        <f>"李晟"</f>
        <v>李晟</v>
      </c>
      <c r="C1113" s="2" t="str">
        <f>"男"</f>
        <v>男</v>
      </c>
      <c r="D1113" s="2" t="str">
        <f>"1997-10-03"</f>
        <v>1997-10-03</v>
      </c>
    </row>
    <row r="1114" spans="1:4" ht="15.75" customHeight="1" x14ac:dyDescent="0.2">
      <c r="A1114" s="2" t="s">
        <v>20</v>
      </c>
      <c r="B1114" s="2" t="str">
        <f>"夏芳"</f>
        <v>夏芳</v>
      </c>
      <c r="C1114" s="2" t="str">
        <f>"女"</f>
        <v>女</v>
      </c>
      <c r="D1114" s="2" t="str">
        <f>"1995-10-29"</f>
        <v>1995-10-29</v>
      </c>
    </row>
    <row r="1115" spans="1:4" ht="15.75" customHeight="1" x14ac:dyDescent="0.2">
      <c r="A1115" s="2" t="s">
        <v>34</v>
      </c>
      <c r="B1115" s="2" t="str">
        <f>"杨奥"</f>
        <v>杨奥</v>
      </c>
      <c r="C1115" s="2" t="str">
        <f>"男"</f>
        <v>男</v>
      </c>
      <c r="D1115" s="2" t="str">
        <f>"1996-07-21"</f>
        <v>1996-07-21</v>
      </c>
    </row>
    <row r="1116" spans="1:4" ht="15.75" customHeight="1" x14ac:dyDescent="0.2">
      <c r="A1116" s="2" t="s">
        <v>12</v>
      </c>
      <c r="B1116" s="2" t="str">
        <f>"颜佳"</f>
        <v>颜佳</v>
      </c>
      <c r="C1116" s="2" t="str">
        <f>"女"</f>
        <v>女</v>
      </c>
      <c r="D1116" s="2" t="str">
        <f>"1991-03-12"</f>
        <v>1991-03-12</v>
      </c>
    </row>
    <row r="1117" spans="1:4" ht="15.75" customHeight="1" x14ac:dyDescent="0.2">
      <c r="A1117" s="2" t="s">
        <v>20</v>
      </c>
      <c r="B1117" s="2" t="str">
        <f>"陈章霞"</f>
        <v>陈章霞</v>
      </c>
      <c r="C1117" s="2" t="str">
        <f>"男"</f>
        <v>男</v>
      </c>
      <c r="D1117" s="2" t="str">
        <f>"1993-10-04"</f>
        <v>1993-10-04</v>
      </c>
    </row>
    <row r="1118" spans="1:4" ht="15.75" customHeight="1" x14ac:dyDescent="0.2">
      <c r="A1118" s="2" t="s">
        <v>22</v>
      </c>
      <c r="B1118" s="2" t="str">
        <f>"刘冬艳"</f>
        <v>刘冬艳</v>
      </c>
      <c r="C1118" s="2" t="str">
        <f>"女"</f>
        <v>女</v>
      </c>
      <c r="D1118" s="2" t="str">
        <f>"1995-12-20"</f>
        <v>1995-12-20</v>
      </c>
    </row>
    <row r="1119" spans="1:4" ht="15.75" customHeight="1" x14ac:dyDescent="0.2">
      <c r="A1119" s="2" t="s">
        <v>14</v>
      </c>
      <c r="B1119" s="2" t="str">
        <f>"毛嘉颖"</f>
        <v>毛嘉颖</v>
      </c>
      <c r="C1119" s="2" t="str">
        <f>"女"</f>
        <v>女</v>
      </c>
      <c r="D1119" s="2" t="str">
        <f>"2001-10-08"</f>
        <v>2001-10-08</v>
      </c>
    </row>
    <row r="1120" spans="1:4" ht="15.75" customHeight="1" x14ac:dyDescent="0.2">
      <c r="A1120" s="2" t="s">
        <v>14</v>
      </c>
      <c r="B1120" s="2" t="str">
        <f>"谈易胜"</f>
        <v>谈易胜</v>
      </c>
      <c r="C1120" s="2" t="str">
        <f>"男"</f>
        <v>男</v>
      </c>
      <c r="D1120" s="2" t="str">
        <f>"1994-04-17"</f>
        <v>1994-04-17</v>
      </c>
    </row>
    <row r="1121" spans="1:4" ht="15.75" customHeight="1" x14ac:dyDescent="0.2">
      <c r="A1121" s="2" t="s">
        <v>45</v>
      </c>
      <c r="B1121" s="2" t="str">
        <f>"唐林波"</f>
        <v>唐林波</v>
      </c>
      <c r="C1121" s="2" t="str">
        <f>"男"</f>
        <v>男</v>
      </c>
      <c r="D1121" s="2" t="str">
        <f>"1991-11-07"</f>
        <v>1991-11-07</v>
      </c>
    </row>
    <row r="1122" spans="1:4" ht="15.75" customHeight="1" x14ac:dyDescent="0.2">
      <c r="A1122" s="2" t="s">
        <v>20</v>
      </c>
      <c r="B1122" s="2" t="str">
        <f>"全秘"</f>
        <v>全秘</v>
      </c>
      <c r="C1122" s="2" t="str">
        <f>"女"</f>
        <v>女</v>
      </c>
      <c r="D1122" s="2" t="str">
        <f>"1996-02-05"</f>
        <v>1996-02-05</v>
      </c>
    </row>
    <row r="1123" spans="1:4" ht="15.75" customHeight="1" x14ac:dyDescent="0.2">
      <c r="A1123" s="2" t="s">
        <v>44</v>
      </c>
      <c r="B1123" s="2" t="str">
        <f>"黎晶"</f>
        <v>黎晶</v>
      </c>
      <c r="C1123" s="2" t="str">
        <f>"女"</f>
        <v>女</v>
      </c>
      <c r="D1123" s="2" t="str">
        <f>"1990-03-25"</f>
        <v>1990-03-25</v>
      </c>
    </row>
    <row r="1124" spans="1:4" ht="15.75" customHeight="1" x14ac:dyDescent="0.2">
      <c r="A1124" s="2" t="s">
        <v>24</v>
      </c>
      <c r="B1124" s="2" t="str">
        <f>"余坤"</f>
        <v>余坤</v>
      </c>
      <c r="C1124" s="2" t="str">
        <f>"男"</f>
        <v>男</v>
      </c>
      <c r="D1124" s="2" t="str">
        <f>"1995-03-22"</f>
        <v>1995-03-22</v>
      </c>
    </row>
    <row r="1125" spans="1:4" ht="15.75" customHeight="1" x14ac:dyDescent="0.2">
      <c r="A1125" s="2" t="s">
        <v>22</v>
      </c>
      <c r="B1125" s="2" t="str">
        <f>"甘胜莉"</f>
        <v>甘胜莉</v>
      </c>
      <c r="C1125" s="2" t="str">
        <f>"女"</f>
        <v>女</v>
      </c>
      <c r="D1125" s="2" t="str">
        <f>"1996-08-03"</f>
        <v>1996-08-03</v>
      </c>
    </row>
    <row r="1126" spans="1:4" ht="15.75" customHeight="1" x14ac:dyDescent="0.2">
      <c r="A1126" s="2" t="s">
        <v>18</v>
      </c>
      <c r="B1126" s="2" t="str">
        <f>"蒋玉春"</f>
        <v>蒋玉春</v>
      </c>
      <c r="C1126" s="2" t="str">
        <f>"女"</f>
        <v>女</v>
      </c>
      <c r="D1126" s="2" t="str">
        <f>"1990-02-13"</f>
        <v>1990-02-13</v>
      </c>
    </row>
    <row r="1127" spans="1:4" ht="15.75" customHeight="1" x14ac:dyDescent="0.2">
      <c r="A1127" s="2" t="s">
        <v>9</v>
      </c>
      <c r="B1127" s="2" t="str">
        <f>"何佳寰"</f>
        <v>何佳寰</v>
      </c>
      <c r="C1127" s="2" t="str">
        <f>"男"</f>
        <v>男</v>
      </c>
      <c r="D1127" s="2" t="str">
        <f>"1989-10-26"</f>
        <v>1989-10-26</v>
      </c>
    </row>
    <row r="1128" spans="1:4" ht="15.75" customHeight="1" x14ac:dyDescent="0.2">
      <c r="A1128" s="2" t="s">
        <v>27</v>
      </c>
      <c r="B1128" s="2" t="str">
        <f>"刘为夷"</f>
        <v>刘为夷</v>
      </c>
      <c r="C1128" s="2" t="str">
        <f>"男"</f>
        <v>男</v>
      </c>
      <c r="D1128" s="2" t="str">
        <f>"1998-06-28"</f>
        <v>1998-06-28</v>
      </c>
    </row>
    <row r="1129" spans="1:4" ht="15.75" customHeight="1" x14ac:dyDescent="0.2">
      <c r="A1129" s="2" t="s">
        <v>23</v>
      </c>
      <c r="B1129" s="2" t="str">
        <f>"杨知锜"</f>
        <v>杨知锜</v>
      </c>
      <c r="C1129" s="2" t="str">
        <f>"男"</f>
        <v>男</v>
      </c>
      <c r="D1129" s="2" t="str">
        <f>"1992-02-23"</f>
        <v>1992-02-23</v>
      </c>
    </row>
    <row r="1130" spans="1:4" ht="15.75" customHeight="1" x14ac:dyDescent="0.2">
      <c r="A1130" s="2" t="s">
        <v>13</v>
      </c>
      <c r="B1130" s="2" t="str">
        <f>"王鹏程"</f>
        <v>王鹏程</v>
      </c>
      <c r="C1130" s="2" t="str">
        <f>"女"</f>
        <v>女</v>
      </c>
      <c r="D1130" s="2" t="str">
        <f>"1991-04-21"</f>
        <v>1991-04-21</v>
      </c>
    </row>
    <row r="1131" spans="1:4" ht="15.75" customHeight="1" x14ac:dyDescent="0.2">
      <c r="A1131" s="2" t="s">
        <v>66</v>
      </c>
      <c r="B1131" s="2" t="str">
        <f>"蔡晓彤"</f>
        <v>蔡晓彤</v>
      </c>
      <c r="C1131" s="2" t="str">
        <f>"女"</f>
        <v>女</v>
      </c>
      <c r="D1131" s="2" t="str">
        <f>"1999-11-27"</f>
        <v>1999-11-27</v>
      </c>
    </row>
    <row r="1132" spans="1:4" ht="15.75" customHeight="1" x14ac:dyDescent="0.2">
      <c r="A1132" s="2" t="s">
        <v>15</v>
      </c>
      <c r="B1132" s="2" t="str">
        <f>"黄睿"</f>
        <v>黄睿</v>
      </c>
      <c r="C1132" s="2" t="str">
        <f>"男"</f>
        <v>男</v>
      </c>
      <c r="D1132" s="2" t="str">
        <f>"1991-12-03"</f>
        <v>1991-12-03</v>
      </c>
    </row>
    <row r="1133" spans="1:4" ht="15.75" customHeight="1" x14ac:dyDescent="0.2">
      <c r="A1133" s="2" t="s">
        <v>17</v>
      </c>
      <c r="B1133" s="2" t="str">
        <f>"张小飞"</f>
        <v>张小飞</v>
      </c>
      <c r="C1133" s="2" t="str">
        <f>"男"</f>
        <v>男</v>
      </c>
      <c r="D1133" s="2" t="str">
        <f>"1991-12-16"</f>
        <v>1991-12-16</v>
      </c>
    </row>
    <row r="1134" spans="1:4" ht="15.75" customHeight="1" x14ac:dyDescent="0.2">
      <c r="A1134" s="2" t="s">
        <v>58</v>
      </c>
      <c r="B1134" s="2" t="str">
        <f>"王丽"</f>
        <v>王丽</v>
      </c>
      <c r="C1134" s="2" t="str">
        <f>"女"</f>
        <v>女</v>
      </c>
      <c r="D1134" s="2" t="str">
        <f>"1998-06-03"</f>
        <v>1998-06-03</v>
      </c>
    </row>
    <row r="1135" spans="1:4" ht="15.75" customHeight="1" x14ac:dyDescent="0.2">
      <c r="A1135" s="2" t="s">
        <v>15</v>
      </c>
      <c r="B1135" s="2" t="str">
        <f>"杨晨"</f>
        <v>杨晨</v>
      </c>
      <c r="C1135" s="2" t="str">
        <f>"男"</f>
        <v>男</v>
      </c>
      <c r="D1135" s="2" t="str">
        <f>"1993-10-26"</f>
        <v>1993-10-26</v>
      </c>
    </row>
    <row r="1136" spans="1:4" ht="15.75" customHeight="1" x14ac:dyDescent="0.2">
      <c r="A1136" s="2" t="s">
        <v>29</v>
      </c>
      <c r="B1136" s="2" t="str">
        <f>"鲁惠"</f>
        <v>鲁惠</v>
      </c>
      <c r="C1136" s="2" t="str">
        <f>"女"</f>
        <v>女</v>
      </c>
      <c r="D1136" s="2" t="str">
        <f>"1995-07-13"</f>
        <v>1995-07-13</v>
      </c>
    </row>
    <row r="1137" spans="1:4" ht="15.75" customHeight="1" x14ac:dyDescent="0.2">
      <c r="A1137" s="2" t="s">
        <v>26</v>
      </c>
      <c r="B1137" s="2" t="str">
        <f>"范浩毅"</f>
        <v>范浩毅</v>
      </c>
      <c r="C1137" s="2" t="str">
        <f>"男"</f>
        <v>男</v>
      </c>
      <c r="D1137" s="2" t="str">
        <f>"1996-09-26"</f>
        <v>1996-09-26</v>
      </c>
    </row>
    <row r="1138" spans="1:4" ht="15.75" customHeight="1" x14ac:dyDescent="0.2">
      <c r="A1138" s="2" t="s">
        <v>48</v>
      </c>
      <c r="B1138" s="2" t="str">
        <f>"杜怡"</f>
        <v>杜怡</v>
      </c>
      <c r="C1138" s="2" t="str">
        <f>"女"</f>
        <v>女</v>
      </c>
      <c r="D1138" s="2" t="str">
        <f>"1995-06-21"</f>
        <v>1995-06-21</v>
      </c>
    </row>
    <row r="1139" spans="1:4" ht="15.75" customHeight="1" x14ac:dyDescent="0.2">
      <c r="A1139" s="2" t="s">
        <v>13</v>
      </c>
      <c r="B1139" s="2" t="str">
        <f>"王超"</f>
        <v>王超</v>
      </c>
      <c r="C1139" s="2" t="str">
        <f>"男"</f>
        <v>男</v>
      </c>
      <c r="D1139" s="2" t="str">
        <f>"1995-05-16"</f>
        <v>1995-05-16</v>
      </c>
    </row>
    <row r="1140" spans="1:4" ht="15.75" customHeight="1" x14ac:dyDescent="0.2">
      <c r="A1140" s="2" t="s">
        <v>12</v>
      </c>
      <c r="B1140" s="2" t="str">
        <f>"杨江山"</f>
        <v>杨江山</v>
      </c>
      <c r="C1140" s="2" t="str">
        <f>"男"</f>
        <v>男</v>
      </c>
      <c r="D1140" s="2" t="str">
        <f>"1987-07-23"</f>
        <v>1987-07-23</v>
      </c>
    </row>
    <row r="1141" spans="1:4" ht="15.75" customHeight="1" x14ac:dyDescent="0.2">
      <c r="A1141" s="2" t="s">
        <v>46</v>
      </c>
      <c r="B1141" s="2" t="str">
        <f>"汪婷婷"</f>
        <v>汪婷婷</v>
      </c>
      <c r="C1141" s="2" t="str">
        <f>"女"</f>
        <v>女</v>
      </c>
      <c r="D1141" s="2" t="str">
        <f>"1993-06-05"</f>
        <v>1993-06-05</v>
      </c>
    </row>
    <row r="1142" spans="1:4" ht="15.75" customHeight="1" x14ac:dyDescent="0.2">
      <c r="A1142" s="2" t="s">
        <v>8</v>
      </c>
      <c r="B1142" s="2" t="str">
        <f>"郭萍"</f>
        <v>郭萍</v>
      </c>
      <c r="C1142" s="2" t="str">
        <f>"女"</f>
        <v>女</v>
      </c>
      <c r="D1142" s="2" t="str">
        <f>"1996-07-30"</f>
        <v>1996-07-30</v>
      </c>
    </row>
    <row r="1143" spans="1:4" ht="15.75" customHeight="1" x14ac:dyDescent="0.2">
      <c r="A1143" s="2" t="s">
        <v>66</v>
      </c>
      <c r="B1143" s="2" t="str">
        <f>"杨宇航"</f>
        <v>杨宇航</v>
      </c>
      <c r="C1143" s="2" t="str">
        <f>"女"</f>
        <v>女</v>
      </c>
      <c r="D1143" s="2" t="str">
        <f>"1997-12-17"</f>
        <v>1997-12-17</v>
      </c>
    </row>
    <row r="1144" spans="1:4" ht="15.75" customHeight="1" x14ac:dyDescent="0.2">
      <c r="A1144" s="2" t="s">
        <v>22</v>
      </c>
      <c r="B1144" s="2" t="str">
        <f>"刘洋"</f>
        <v>刘洋</v>
      </c>
      <c r="C1144" s="2" t="str">
        <f>"女"</f>
        <v>女</v>
      </c>
      <c r="D1144" s="2" t="str">
        <f>"1995-08-24"</f>
        <v>1995-08-24</v>
      </c>
    </row>
    <row r="1145" spans="1:4" ht="15.75" customHeight="1" x14ac:dyDescent="0.2">
      <c r="A1145" s="2" t="s">
        <v>41</v>
      </c>
      <c r="B1145" s="2" t="str">
        <f>"刘小敏"</f>
        <v>刘小敏</v>
      </c>
      <c r="C1145" s="2" t="str">
        <f>"女"</f>
        <v>女</v>
      </c>
      <c r="D1145" s="2" t="str">
        <f>"1997-12-04"</f>
        <v>1997-12-04</v>
      </c>
    </row>
    <row r="1146" spans="1:4" ht="15.75" customHeight="1" x14ac:dyDescent="0.2">
      <c r="A1146" s="2" t="s">
        <v>72</v>
      </c>
      <c r="B1146" s="2" t="str">
        <f>"林凯"</f>
        <v>林凯</v>
      </c>
      <c r="C1146" s="2" t="str">
        <f>"男"</f>
        <v>男</v>
      </c>
      <c r="D1146" s="2" t="str">
        <f>"1995-04-16"</f>
        <v>1995-04-16</v>
      </c>
    </row>
    <row r="1147" spans="1:4" ht="15.75" customHeight="1" x14ac:dyDescent="0.2">
      <c r="A1147" s="2" t="s">
        <v>46</v>
      </c>
      <c r="B1147" s="2" t="str">
        <f>"刘霞"</f>
        <v>刘霞</v>
      </c>
      <c r="C1147" s="2" t="str">
        <f>"女"</f>
        <v>女</v>
      </c>
      <c r="D1147" s="2" t="str">
        <f>"1988-09-10"</f>
        <v>1988-09-10</v>
      </c>
    </row>
    <row r="1148" spans="1:4" ht="15.75" customHeight="1" x14ac:dyDescent="0.2">
      <c r="A1148" s="2" t="s">
        <v>54</v>
      </c>
      <c r="B1148" s="2" t="str">
        <f>"文皓天"</f>
        <v>文皓天</v>
      </c>
      <c r="C1148" s="2" t="str">
        <f>"男"</f>
        <v>男</v>
      </c>
      <c r="D1148" s="2" t="str">
        <f>"1992-12-27"</f>
        <v>1992-12-27</v>
      </c>
    </row>
    <row r="1149" spans="1:4" ht="15.75" customHeight="1" x14ac:dyDescent="0.2">
      <c r="A1149" s="2" t="s">
        <v>8</v>
      </c>
      <c r="B1149" s="2" t="str">
        <f>"唐昊"</f>
        <v>唐昊</v>
      </c>
      <c r="C1149" s="2" t="str">
        <f>"男"</f>
        <v>男</v>
      </c>
      <c r="D1149" s="2" t="str">
        <f>"1999-10-01"</f>
        <v>1999-10-01</v>
      </c>
    </row>
    <row r="1150" spans="1:4" ht="15.75" customHeight="1" x14ac:dyDescent="0.2">
      <c r="A1150" s="2" t="s">
        <v>31</v>
      </c>
      <c r="B1150" s="2" t="str">
        <f>"徐佩"</f>
        <v>徐佩</v>
      </c>
      <c r="C1150" s="2" t="str">
        <f>"女"</f>
        <v>女</v>
      </c>
      <c r="D1150" s="2" t="str">
        <f>"1990-03-20"</f>
        <v>1990-03-20</v>
      </c>
    </row>
    <row r="1151" spans="1:4" ht="15.75" customHeight="1" x14ac:dyDescent="0.2">
      <c r="A1151" s="2" t="s">
        <v>8</v>
      </c>
      <c r="B1151" s="2" t="str">
        <f>"郑飞"</f>
        <v>郑飞</v>
      </c>
      <c r="C1151" s="2" t="str">
        <f>"男"</f>
        <v>男</v>
      </c>
      <c r="D1151" s="2" t="str">
        <f>"1998-07-28"</f>
        <v>1998-07-28</v>
      </c>
    </row>
    <row r="1152" spans="1:4" ht="15.75" customHeight="1" x14ac:dyDescent="0.2">
      <c r="A1152" s="2" t="s">
        <v>8</v>
      </c>
      <c r="B1152" s="2" t="str">
        <f>"梁绪成"</f>
        <v>梁绪成</v>
      </c>
      <c r="C1152" s="2" t="str">
        <f>"男"</f>
        <v>男</v>
      </c>
      <c r="D1152" s="2" t="str">
        <f>"1994-10-21"</f>
        <v>1994-10-21</v>
      </c>
    </row>
    <row r="1153" spans="1:4" ht="15.75" customHeight="1" x14ac:dyDescent="0.2">
      <c r="A1153" s="2" t="s">
        <v>13</v>
      </c>
      <c r="B1153" s="2" t="str">
        <f>"袁莉"</f>
        <v>袁莉</v>
      </c>
      <c r="C1153" s="2" t="str">
        <f>"女"</f>
        <v>女</v>
      </c>
      <c r="D1153" s="2" t="str">
        <f>"1988-10-06"</f>
        <v>1988-10-06</v>
      </c>
    </row>
    <row r="1154" spans="1:4" ht="15.75" customHeight="1" x14ac:dyDescent="0.2">
      <c r="A1154" s="2" t="s">
        <v>63</v>
      </c>
      <c r="B1154" s="2" t="str">
        <f>"胡豪"</f>
        <v>胡豪</v>
      </c>
      <c r="C1154" s="2" t="str">
        <f>"男"</f>
        <v>男</v>
      </c>
      <c r="D1154" s="2" t="str">
        <f>"1995-09-23"</f>
        <v>1995-09-23</v>
      </c>
    </row>
    <row r="1155" spans="1:4" ht="15.75" customHeight="1" x14ac:dyDescent="0.2">
      <c r="A1155" s="2" t="s">
        <v>13</v>
      </c>
      <c r="B1155" s="2" t="str">
        <f>"李琳园"</f>
        <v>李琳园</v>
      </c>
      <c r="C1155" s="2" t="str">
        <f>"女"</f>
        <v>女</v>
      </c>
      <c r="D1155" s="2" t="str">
        <f>"1990-03-22"</f>
        <v>1990-03-22</v>
      </c>
    </row>
    <row r="1156" spans="1:4" ht="15.75" customHeight="1" x14ac:dyDescent="0.2">
      <c r="A1156" s="2" t="s">
        <v>14</v>
      </c>
      <c r="B1156" s="2" t="str">
        <f>"贺艳芳"</f>
        <v>贺艳芳</v>
      </c>
      <c r="C1156" s="2" t="str">
        <f>"女"</f>
        <v>女</v>
      </c>
      <c r="D1156" s="2" t="str">
        <f>"1995-06-02"</f>
        <v>1995-06-02</v>
      </c>
    </row>
    <row r="1157" spans="1:4" ht="15.75" customHeight="1" x14ac:dyDescent="0.2">
      <c r="A1157" s="2" t="s">
        <v>16</v>
      </c>
      <c r="B1157" s="2" t="str">
        <f>"李敏"</f>
        <v>李敏</v>
      </c>
      <c r="C1157" s="2" t="str">
        <f>"女"</f>
        <v>女</v>
      </c>
      <c r="D1157" s="2" t="str">
        <f>"1997-04-16"</f>
        <v>1997-04-16</v>
      </c>
    </row>
    <row r="1158" spans="1:4" ht="15.75" customHeight="1" x14ac:dyDescent="0.2">
      <c r="A1158" s="2" t="s">
        <v>14</v>
      </c>
      <c r="B1158" s="2" t="str">
        <f>"陈武"</f>
        <v>陈武</v>
      </c>
      <c r="C1158" s="2" t="str">
        <f>"男"</f>
        <v>男</v>
      </c>
      <c r="D1158" s="2" t="str">
        <f>"1994-04-28"</f>
        <v>1994-04-28</v>
      </c>
    </row>
    <row r="1159" spans="1:4" ht="15.75" customHeight="1" x14ac:dyDescent="0.2">
      <c r="A1159" s="2" t="s">
        <v>46</v>
      </c>
      <c r="B1159" s="2" t="str">
        <f>"张燕"</f>
        <v>张燕</v>
      </c>
      <c r="C1159" s="2" t="str">
        <f>"女"</f>
        <v>女</v>
      </c>
      <c r="D1159" s="2" t="str">
        <f>"1987-01-10"</f>
        <v>1987-01-10</v>
      </c>
    </row>
    <row r="1160" spans="1:4" ht="15.75" customHeight="1" x14ac:dyDescent="0.2">
      <c r="A1160" s="2" t="s">
        <v>44</v>
      </c>
      <c r="B1160" s="2" t="str">
        <f>"冯霞玲"</f>
        <v>冯霞玲</v>
      </c>
      <c r="C1160" s="2" t="str">
        <f>"女"</f>
        <v>女</v>
      </c>
      <c r="D1160" s="2" t="str">
        <f>"1989-10-11"</f>
        <v>1989-10-11</v>
      </c>
    </row>
    <row r="1161" spans="1:4" ht="15.75" customHeight="1" x14ac:dyDescent="0.2">
      <c r="A1161" s="2" t="s">
        <v>21</v>
      </c>
      <c r="B1161" s="2" t="str">
        <f>"胡晨"</f>
        <v>胡晨</v>
      </c>
      <c r="C1161" s="2" t="str">
        <f>"女"</f>
        <v>女</v>
      </c>
      <c r="D1161" s="2" t="str">
        <f>"1998-12-13"</f>
        <v>1998-12-13</v>
      </c>
    </row>
    <row r="1162" spans="1:4" ht="15.75" customHeight="1" x14ac:dyDescent="0.2">
      <c r="A1162" s="2" t="s">
        <v>47</v>
      </c>
      <c r="B1162" s="2" t="str">
        <f>"陈文亮"</f>
        <v>陈文亮</v>
      </c>
      <c r="C1162" s="2" t="str">
        <f>"男"</f>
        <v>男</v>
      </c>
      <c r="D1162" s="2" t="str">
        <f>"2000-11-15"</f>
        <v>2000-11-15</v>
      </c>
    </row>
    <row r="1163" spans="1:4" ht="15.75" customHeight="1" x14ac:dyDescent="0.2">
      <c r="A1163" s="2" t="s">
        <v>31</v>
      </c>
      <c r="B1163" s="2" t="str">
        <f>"张志科"</f>
        <v>张志科</v>
      </c>
      <c r="C1163" s="2" t="str">
        <f>"男"</f>
        <v>男</v>
      </c>
      <c r="D1163" s="2" t="str">
        <f>"1988-08-17"</f>
        <v>1988-08-17</v>
      </c>
    </row>
    <row r="1164" spans="1:4" ht="15.75" customHeight="1" x14ac:dyDescent="0.2">
      <c r="A1164" s="2" t="s">
        <v>14</v>
      </c>
      <c r="B1164" s="2" t="str">
        <f>"汤伟"</f>
        <v>汤伟</v>
      </c>
      <c r="C1164" s="2" t="str">
        <f>"男"</f>
        <v>男</v>
      </c>
      <c r="D1164" s="2" t="str">
        <f>"1999-05-29"</f>
        <v>1999-05-29</v>
      </c>
    </row>
    <row r="1165" spans="1:4" ht="15.75" customHeight="1" x14ac:dyDescent="0.2">
      <c r="A1165" s="2" t="s">
        <v>40</v>
      </c>
      <c r="B1165" s="2" t="str">
        <f>"帅昌熠"</f>
        <v>帅昌熠</v>
      </c>
      <c r="C1165" s="2" t="str">
        <f>"男"</f>
        <v>男</v>
      </c>
      <c r="D1165" s="2" t="str">
        <f>"1993-03-31"</f>
        <v>1993-03-31</v>
      </c>
    </row>
    <row r="1166" spans="1:4" ht="15.75" customHeight="1" x14ac:dyDescent="0.2">
      <c r="A1166" s="2" t="s">
        <v>59</v>
      </c>
      <c r="B1166" s="2" t="str">
        <f>"刘佳"</f>
        <v>刘佳</v>
      </c>
      <c r="C1166" s="2" t="str">
        <f>"女"</f>
        <v>女</v>
      </c>
      <c r="D1166" s="2" t="str">
        <f>"1998-03-01"</f>
        <v>1998-03-01</v>
      </c>
    </row>
    <row r="1167" spans="1:4" ht="15.75" customHeight="1" x14ac:dyDescent="0.2">
      <c r="A1167" s="2" t="s">
        <v>28</v>
      </c>
      <c r="B1167" s="2" t="str">
        <f>"朱康琼"</f>
        <v>朱康琼</v>
      </c>
      <c r="C1167" s="2" t="str">
        <f>"女"</f>
        <v>女</v>
      </c>
      <c r="D1167" s="2" t="str">
        <f>"1995-08-01"</f>
        <v>1995-08-01</v>
      </c>
    </row>
    <row r="1168" spans="1:4" ht="15.75" customHeight="1" x14ac:dyDescent="0.2">
      <c r="A1168" s="2" t="s">
        <v>8</v>
      </c>
      <c r="B1168" s="2" t="str">
        <f>"周韬平"</f>
        <v>周韬平</v>
      </c>
      <c r="C1168" s="2" t="str">
        <f>"男"</f>
        <v>男</v>
      </c>
      <c r="D1168" s="2" t="str">
        <f>"1990-08-30"</f>
        <v>1990-08-30</v>
      </c>
    </row>
    <row r="1169" spans="1:4" ht="15.75" customHeight="1" x14ac:dyDescent="0.2">
      <c r="A1169" s="2" t="s">
        <v>14</v>
      </c>
      <c r="B1169" s="2" t="str">
        <f>"孙迪"</f>
        <v>孙迪</v>
      </c>
      <c r="C1169" s="2" t="str">
        <f>"男"</f>
        <v>男</v>
      </c>
      <c r="D1169" s="2" t="str">
        <f>"1994-12-01"</f>
        <v>1994-12-01</v>
      </c>
    </row>
    <row r="1170" spans="1:4" ht="15.75" customHeight="1" x14ac:dyDescent="0.2">
      <c r="A1170" s="2" t="s">
        <v>56</v>
      </c>
      <c r="B1170" s="2" t="str">
        <f>"龚佑佳"</f>
        <v>龚佑佳</v>
      </c>
      <c r="C1170" s="2" t="str">
        <f>"女"</f>
        <v>女</v>
      </c>
      <c r="D1170" s="2" t="str">
        <f>"1995-06-20"</f>
        <v>1995-06-20</v>
      </c>
    </row>
    <row r="1171" spans="1:4" ht="15.75" customHeight="1" x14ac:dyDescent="0.2">
      <c r="A1171" s="2" t="s">
        <v>27</v>
      </c>
      <c r="B1171" s="2" t="str">
        <f>"陈明俏"</f>
        <v>陈明俏</v>
      </c>
      <c r="C1171" s="2" t="str">
        <f>"男"</f>
        <v>男</v>
      </c>
      <c r="D1171" s="2" t="str">
        <f>"1991-10-22"</f>
        <v>1991-10-22</v>
      </c>
    </row>
    <row r="1172" spans="1:4" ht="15.75" customHeight="1" x14ac:dyDescent="0.2">
      <c r="A1172" s="2" t="s">
        <v>14</v>
      </c>
      <c r="B1172" s="2" t="str">
        <f>"刘杨一鸣"</f>
        <v>刘杨一鸣</v>
      </c>
      <c r="C1172" s="2" t="str">
        <f>"男"</f>
        <v>男</v>
      </c>
      <c r="D1172" s="2" t="str">
        <f>"1993-12-14"</f>
        <v>1993-12-14</v>
      </c>
    </row>
    <row r="1173" spans="1:4" ht="15.75" customHeight="1" x14ac:dyDescent="0.2">
      <c r="A1173" s="2" t="s">
        <v>40</v>
      </c>
      <c r="B1173" s="2" t="str">
        <f>"丁良云"</f>
        <v>丁良云</v>
      </c>
      <c r="C1173" s="2" t="str">
        <f>"女"</f>
        <v>女</v>
      </c>
      <c r="D1173" s="2" t="str">
        <f>"1994-10-22"</f>
        <v>1994-10-22</v>
      </c>
    </row>
    <row r="1174" spans="1:4" ht="15.75" customHeight="1" x14ac:dyDescent="0.2">
      <c r="A1174" s="2" t="s">
        <v>15</v>
      </c>
      <c r="B1174" s="2" t="str">
        <f>"肖潇"</f>
        <v>肖潇</v>
      </c>
      <c r="C1174" s="2" t="str">
        <f>"男"</f>
        <v>男</v>
      </c>
      <c r="D1174" s="2" t="str">
        <f>"1990-07-15"</f>
        <v>1990-07-15</v>
      </c>
    </row>
    <row r="1175" spans="1:4" ht="15.75" customHeight="1" x14ac:dyDescent="0.2">
      <c r="A1175" s="2" t="s">
        <v>34</v>
      </c>
      <c r="B1175" s="2" t="str">
        <f>"黄耀胜"</f>
        <v>黄耀胜</v>
      </c>
      <c r="C1175" s="2" t="str">
        <f>"男"</f>
        <v>男</v>
      </c>
      <c r="D1175" s="2" t="str">
        <f>"1996-03-09"</f>
        <v>1996-03-09</v>
      </c>
    </row>
    <row r="1176" spans="1:4" ht="15.75" customHeight="1" x14ac:dyDescent="0.2">
      <c r="A1176" s="2" t="s">
        <v>40</v>
      </c>
      <c r="B1176" s="2" t="str">
        <f>"胡钊颖"</f>
        <v>胡钊颖</v>
      </c>
      <c r="C1176" s="2" t="str">
        <f>"女"</f>
        <v>女</v>
      </c>
      <c r="D1176" s="2" t="str">
        <f>"1998-04-09"</f>
        <v>1998-04-09</v>
      </c>
    </row>
    <row r="1177" spans="1:4" ht="15.75" customHeight="1" x14ac:dyDescent="0.2">
      <c r="A1177" s="2" t="s">
        <v>23</v>
      </c>
      <c r="B1177" s="2" t="str">
        <f>"黄聪"</f>
        <v>黄聪</v>
      </c>
      <c r="C1177" s="2" t="str">
        <f>"男"</f>
        <v>男</v>
      </c>
      <c r="D1177" s="2" t="str">
        <f>"1995-06-15"</f>
        <v>1995-06-15</v>
      </c>
    </row>
    <row r="1178" spans="1:4" ht="15.75" customHeight="1" x14ac:dyDescent="0.2">
      <c r="A1178" s="2" t="s">
        <v>41</v>
      </c>
      <c r="B1178" s="2" t="str">
        <f>"刘雄"</f>
        <v>刘雄</v>
      </c>
      <c r="C1178" s="2" t="str">
        <f>"男"</f>
        <v>男</v>
      </c>
      <c r="D1178" s="2" t="str">
        <f>"1996-10-07"</f>
        <v>1996-10-07</v>
      </c>
    </row>
    <row r="1179" spans="1:4" ht="15.75" customHeight="1" x14ac:dyDescent="0.2">
      <c r="A1179" s="2" t="s">
        <v>44</v>
      </c>
      <c r="B1179" s="2" t="str">
        <f>"黄艳艳"</f>
        <v>黄艳艳</v>
      </c>
      <c r="C1179" s="2" t="str">
        <f>"女"</f>
        <v>女</v>
      </c>
      <c r="D1179" s="2" t="str">
        <f>"1993-08-18"</f>
        <v>1993-08-18</v>
      </c>
    </row>
    <row r="1180" spans="1:4" ht="15.75" customHeight="1" x14ac:dyDescent="0.2">
      <c r="A1180" s="2" t="s">
        <v>8</v>
      </c>
      <c r="B1180" s="2" t="str">
        <f>"殷子钦"</f>
        <v>殷子钦</v>
      </c>
      <c r="C1180" s="2" t="str">
        <f>"女"</f>
        <v>女</v>
      </c>
      <c r="D1180" s="2" t="str">
        <f>"1994-06-01"</f>
        <v>1994-06-01</v>
      </c>
    </row>
    <row r="1181" spans="1:4" ht="15.75" customHeight="1" x14ac:dyDescent="0.2">
      <c r="A1181" s="2" t="s">
        <v>13</v>
      </c>
      <c r="B1181" s="2" t="str">
        <f>"高旦"</f>
        <v>高旦</v>
      </c>
      <c r="C1181" s="2" t="str">
        <f>"男"</f>
        <v>男</v>
      </c>
      <c r="D1181" s="2" t="str">
        <f>"1990-08-02"</f>
        <v>1990-08-02</v>
      </c>
    </row>
    <row r="1182" spans="1:4" ht="15.75" customHeight="1" x14ac:dyDescent="0.2">
      <c r="A1182" s="2" t="s">
        <v>59</v>
      </c>
      <c r="B1182" s="2" t="str">
        <f>"胡思佳"</f>
        <v>胡思佳</v>
      </c>
      <c r="C1182" s="2" t="str">
        <f>"女"</f>
        <v>女</v>
      </c>
      <c r="D1182" s="2" t="str">
        <f>"1999-03-22"</f>
        <v>1999-03-22</v>
      </c>
    </row>
    <row r="1183" spans="1:4" ht="15.75" customHeight="1" x14ac:dyDescent="0.2">
      <c r="A1183" s="2" t="s">
        <v>50</v>
      </c>
      <c r="B1183" s="2" t="str">
        <f>"陈入峰"</f>
        <v>陈入峰</v>
      </c>
      <c r="C1183" s="2" t="str">
        <f>"男"</f>
        <v>男</v>
      </c>
      <c r="D1183" s="2" t="str">
        <f>"1997-01-11"</f>
        <v>1997-01-11</v>
      </c>
    </row>
    <row r="1184" spans="1:4" ht="15.75" customHeight="1" x14ac:dyDescent="0.2">
      <c r="A1184" s="2" t="s">
        <v>28</v>
      </c>
      <c r="B1184" s="2" t="str">
        <f>"王胤中"</f>
        <v>王胤中</v>
      </c>
      <c r="C1184" s="2" t="str">
        <f>"男"</f>
        <v>男</v>
      </c>
      <c r="D1184" s="2" t="str">
        <f>"1995-01-23"</f>
        <v>1995-01-23</v>
      </c>
    </row>
    <row r="1185" spans="1:4" ht="15.75" customHeight="1" x14ac:dyDescent="0.2">
      <c r="A1185" s="2" t="s">
        <v>42</v>
      </c>
      <c r="B1185" s="2" t="str">
        <f>"杨心成"</f>
        <v>杨心成</v>
      </c>
      <c r="C1185" s="2" t="str">
        <f>"女"</f>
        <v>女</v>
      </c>
      <c r="D1185" s="2" t="str">
        <f>"1996-02-04"</f>
        <v>1996-02-04</v>
      </c>
    </row>
    <row r="1186" spans="1:4" ht="15.75" customHeight="1" x14ac:dyDescent="0.2">
      <c r="A1186" s="2" t="s">
        <v>17</v>
      </c>
      <c r="B1186" s="2" t="str">
        <f>"屈敬淞"</f>
        <v>屈敬淞</v>
      </c>
      <c r="C1186" s="2" t="str">
        <f>"男"</f>
        <v>男</v>
      </c>
      <c r="D1186" s="2" t="str">
        <f>"1998-07-27"</f>
        <v>1998-07-27</v>
      </c>
    </row>
    <row r="1187" spans="1:4" ht="15.75" customHeight="1" x14ac:dyDescent="0.2">
      <c r="A1187" s="2" t="s">
        <v>49</v>
      </c>
      <c r="B1187" s="2" t="str">
        <f>"刘成"</f>
        <v>刘成</v>
      </c>
      <c r="C1187" s="2" t="str">
        <f>"男"</f>
        <v>男</v>
      </c>
      <c r="D1187" s="2" t="str">
        <f>"1993-05-11"</f>
        <v>1993-05-11</v>
      </c>
    </row>
    <row r="1188" spans="1:4" ht="15.75" customHeight="1" x14ac:dyDescent="0.2">
      <c r="A1188" s="2" t="s">
        <v>36</v>
      </c>
      <c r="B1188" s="2" t="str">
        <f>"杨旭娟"</f>
        <v>杨旭娟</v>
      </c>
      <c r="C1188" s="2" t="str">
        <f>"女"</f>
        <v>女</v>
      </c>
      <c r="D1188" s="2" t="str">
        <f>"1998-05-08"</f>
        <v>1998-05-08</v>
      </c>
    </row>
    <row r="1189" spans="1:4" ht="15.75" customHeight="1" x14ac:dyDescent="0.2">
      <c r="A1189" s="2" t="s">
        <v>17</v>
      </c>
      <c r="B1189" s="2" t="str">
        <f>"曹建"</f>
        <v>曹建</v>
      </c>
      <c r="C1189" s="2" t="str">
        <f>"男"</f>
        <v>男</v>
      </c>
      <c r="D1189" s="2" t="str">
        <f>"1988-11-20"</f>
        <v>1988-11-20</v>
      </c>
    </row>
    <row r="1190" spans="1:4" ht="15.75" customHeight="1" x14ac:dyDescent="0.2">
      <c r="A1190" s="2" t="s">
        <v>23</v>
      </c>
      <c r="B1190" s="2" t="str">
        <f>"彭可珂"</f>
        <v>彭可珂</v>
      </c>
      <c r="C1190" s="2" t="str">
        <f>"男"</f>
        <v>男</v>
      </c>
      <c r="D1190" s="2" t="str">
        <f>"1992-06-09"</f>
        <v>1992-06-09</v>
      </c>
    </row>
    <row r="1191" spans="1:4" ht="15.75" customHeight="1" x14ac:dyDescent="0.2">
      <c r="A1191" s="2" t="s">
        <v>13</v>
      </c>
      <c r="B1191" s="2" t="str">
        <f>"徐钰莹"</f>
        <v>徐钰莹</v>
      </c>
      <c r="C1191" s="2" t="str">
        <f>"女"</f>
        <v>女</v>
      </c>
      <c r="D1191" s="2" t="str">
        <f>"1994-01-12"</f>
        <v>1994-01-12</v>
      </c>
    </row>
    <row r="1192" spans="1:4" ht="15.75" customHeight="1" x14ac:dyDescent="0.2">
      <c r="A1192" s="2" t="s">
        <v>13</v>
      </c>
      <c r="B1192" s="2" t="str">
        <f>"刘开红"</f>
        <v>刘开红</v>
      </c>
      <c r="C1192" s="2" t="str">
        <f>"女"</f>
        <v>女</v>
      </c>
      <c r="D1192" s="2" t="str">
        <f>"1990-05-08"</f>
        <v>1990-05-08</v>
      </c>
    </row>
    <row r="1193" spans="1:4" ht="15.75" customHeight="1" x14ac:dyDescent="0.2">
      <c r="A1193" s="2" t="s">
        <v>13</v>
      </c>
      <c r="B1193" s="2" t="str">
        <f>"肖超曦"</f>
        <v>肖超曦</v>
      </c>
      <c r="C1193" s="2" t="str">
        <f>"男"</f>
        <v>男</v>
      </c>
      <c r="D1193" s="2" t="str">
        <f>"1991-08-20"</f>
        <v>1991-08-20</v>
      </c>
    </row>
    <row r="1194" spans="1:4" ht="15.75" customHeight="1" x14ac:dyDescent="0.2">
      <c r="A1194" s="2" t="s">
        <v>40</v>
      </c>
      <c r="B1194" s="2" t="str">
        <f>"曹娅"</f>
        <v>曹娅</v>
      </c>
      <c r="C1194" s="2" t="str">
        <f>"女"</f>
        <v>女</v>
      </c>
      <c r="D1194" s="2" t="str">
        <f>"1997-09-17"</f>
        <v>1997-09-17</v>
      </c>
    </row>
    <row r="1195" spans="1:4" ht="15.75" customHeight="1" x14ac:dyDescent="0.2">
      <c r="A1195" s="2" t="s">
        <v>65</v>
      </c>
      <c r="B1195" s="2" t="str">
        <f>"张智栋"</f>
        <v>张智栋</v>
      </c>
      <c r="C1195" s="2" t="str">
        <f>"男"</f>
        <v>男</v>
      </c>
      <c r="D1195" s="2" t="str">
        <f>"1993-03-17"</f>
        <v>1993-03-17</v>
      </c>
    </row>
    <row r="1196" spans="1:4" ht="15.75" customHeight="1" x14ac:dyDescent="0.2">
      <c r="A1196" s="2" t="s">
        <v>30</v>
      </c>
      <c r="B1196" s="2" t="str">
        <f>"黄丹"</f>
        <v>黄丹</v>
      </c>
      <c r="C1196" s="2" t="str">
        <f>"女"</f>
        <v>女</v>
      </c>
      <c r="D1196" s="2" t="str">
        <f>"1992-05-05"</f>
        <v>1992-05-05</v>
      </c>
    </row>
    <row r="1197" spans="1:4" ht="15.75" customHeight="1" x14ac:dyDescent="0.2">
      <c r="A1197" s="2" t="s">
        <v>41</v>
      </c>
      <c r="B1197" s="2" t="str">
        <f>"鲁励"</f>
        <v>鲁励</v>
      </c>
      <c r="C1197" s="2" t="str">
        <f>"女"</f>
        <v>女</v>
      </c>
      <c r="D1197" s="2" t="str">
        <f>"1998-03-13"</f>
        <v>1998-03-13</v>
      </c>
    </row>
    <row r="1198" spans="1:4" ht="15.75" customHeight="1" x14ac:dyDescent="0.2">
      <c r="A1198" s="2" t="s">
        <v>54</v>
      </c>
      <c r="B1198" s="2" t="str">
        <f>"刘皓天"</f>
        <v>刘皓天</v>
      </c>
      <c r="C1198" s="2" t="str">
        <f>"男"</f>
        <v>男</v>
      </c>
      <c r="D1198" s="2" t="str">
        <f>"1997-02-15"</f>
        <v>1997-02-15</v>
      </c>
    </row>
    <row r="1199" spans="1:4" ht="15.75" customHeight="1" x14ac:dyDescent="0.2">
      <c r="A1199" s="2" t="s">
        <v>58</v>
      </c>
      <c r="B1199" s="2" t="str">
        <f>"唐皙雯"</f>
        <v>唐皙雯</v>
      </c>
      <c r="C1199" s="2" t="str">
        <f>"女"</f>
        <v>女</v>
      </c>
      <c r="D1199" s="2" t="str">
        <f>"1990-09-18"</f>
        <v>1990-09-18</v>
      </c>
    </row>
    <row r="1200" spans="1:4" ht="15.75" customHeight="1" x14ac:dyDescent="0.2">
      <c r="A1200" s="2" t="s">
        <v>7</v>
      </c>
      <c r="B1200" s="2" t="str">
        <f>"石进涛"</f>
        <v>石进涛</v>
      </c>
      <c r="C1200" s="2" t="str">
        <f>"男"</f>
        <v>男</v>
      </c>
      <c r="D1200" s="2" t="str">
        <f>"1993-04-15"</f>
        <v>1993-04-15</v>
      </c>
    </row>
    <row r="1201" spans="1:4" ht="15.75" customHeight="1" x14ac:dyDescent="0.2">
      <c r="A1201" s="2" t="s">
        <v>36</v>
      </c>
      <c r="B1201" s="2" t="str">
        <f>"刘铃"</f>
        <v>刘铃</v>
      </c>
      <c r="C1201" s="2" t="str">
        <f>"女"</f>
        <v>女</v>
      </c>
      <c r="D1201" s="2" t="str">
        <f>"1996-06-16"</f>
        <v>1996-06-16</v>
      </c>
    </row>
    <row r="1202" spans="1:4" ht="15.75" customHeight="1" x14ac:dyDescent="0.2">
      <c r="A1202" s="2" t="s">
        <v>14</v>
      </c>
      <c r="B1202" s="2" t="str">
        <f>"陈楠"</f>
        <v>陈楠</v>
      </c>
      <c r="C1202" s="2" t="str">
        <f>"女"</f>
        <v>女</v>
      </c>
      <c r="D1202" s="2" t="str">
        <f>"1996-08-17"</f>
        <v>1996-08-17</v>
      </c>
    </row>
    <row r="1203" spans="1:4" ht="15.75" customHeight="1" x14ac:dyDescent="0.2">
      <c r="A1203" s="2" t="s">
        <v>27</v>
      </c>
      <c r="B1203" s="2" t="str">
        <f>"熊俊宇"</f>
        <v>熊俊宇</v>
      </c>
      <c r="C1203" s="2" t="str">
        <f>"男"</f>
        <v>男</v>
      </c>
      <c r="D1203" s="2" t="str">
        <f>"1994-07-25"</f>
        <v>1994-07-25</v>
      </c>
    </row>
    <row r="1204" spans="1:4" ht="15.75" customHeight="1" x14ac:dyDescent="0.2">
      <c r="A1204" s="2" t="s">
        <v>36</v>
      </c>
      <c r="B1204" s="2" t="str">
        <f>"邓靓"</f>
        <v>邓靓</v>
      </c>
      <c r="C1204" s="2" t="str">
        <f>"女"</f>
        <v>女</v>
      </c>
      <c r="D1204" s="2" t="str">
        <f>"1996-07-23"</f>
        <v>1996-07-23</v>
      </c>
    </row>
    <row r="1205" spans="1:4" ht="15.75" customHeight="1" x14ac:dyDescent="0.2">
      <c r="A1205" s="2" t="s">
        <v>28</v>
      </c>
      <c r="B1205" s="2" t="str">
        <f>"李仁彬"</f>
        <v>李仁彬</v>
      </c>
      <c r="C1205" s="2" t="str">
        <f>"男"</f>
        <v>男</v>
      </c>
      <c r="D1205" s="2" t="str">
        <f>"1993-07-07"</f>
        <v>1993-07-07</v>
      </c>
    </row>
    <row r="1206" spans="1:4" ht="15.75" customHeight="1" x14ac:dyDescent="0.2">
      <c r="A1206" s="2" t="s">
        <v>14</v>
      </c>
      <c r="B1206" s="2" t="str">
        <f>"唐荣基"</f>
        <v>唐荣基</v>
      </c>
      <c r="C1206" s="2" t="str">
        <f>"男"</f>
        <v>男</v>
      </c>
      <c r="D1206" s="2" t="str">
        <f>"1993-02-20"</f>
        <v>1993-02-20</v>
      </c>
    </row>
    <row r="1207" spans="1:4" ht="15.75" customHeight="1" x14ac:dyDescent="0.2">
      <c r="A1207" s="2" t="s">
        <v>47</v>
      </c>
      <c r="B1207" s="2" t="str">
        <f>"程倩"</f>
        <v>程倩</v>
      </c>
      <c r="C1207" s="2" t="str">
        <f>"女"</f>
        <v>女</v>
      </c>
      <c r="D1207" s="2" t="str">
        <f>"2001-02-14"</f>
        <v>2001-02-14</v>
      </c>
    </row>
    <row r="1208" spans="1:4" ht="15.75" customHeight="1" x14ac:dyDescent="0.2">
      <c r="A1208" s="2" t="s">
        <v>43</v>
      </c>
      <c r="B1208" s="2" t="str">
        <f>"宁婉昕"</f>
        <v>宁婉昕</v>
      </c>
      <c r="C1208" s="2" t="str">
        <f>"女"</f>
        <v>女</v>
      </c>
      <c r="D1208" s="2" t="str">
        <f>"1990-11-16"</f>
        <v>1990-11-16</v>
      </c>
    </row>
    <row r="1209" spans="1:4" ht="15.75" customHeight="1" x14ac:dyDescent="0.2">
      <c r="A1209" s="2" t="s">
        <v>46</v>
      </c>
      <c r="B1209" s="2" t="str">
        <f>"杨姣"</f>
        <v>杨姣</v>
      </c>
      <c r="C1209" s="2" t="str">
        <f>"女"</f>
        <v>女</v>
      </c>
      <c r="D1209" s="2" t="str">
        <f>"1991-12-11"</f>
        <v>1991-12-11</v>
      </c>
    </row>
    <row r="1210" spans="1:4" ht="15.75" customHeight="1" x14ac:dyDescent="0.2">
      <c r="A1210" s="2" t="s">
        <v>17</v>
      </c>
      <c r="B1210" s="2" t="str">
        <f>"王梦菲"</f>
        <v>王梦菲</v>
      </c>
      <c r="C1210" s="2" t="str">
        <f>"女"</f>
        <v>女</v>
      </c>
      <c r="D1210" s="2" t="str">
        <f>"1996-08-21"</f>
        <v>1996-08-21</v>
      </c>
    </row>
    <row r="1211" spans="1:4" ht="15.75" customHeight="1" x14ac:dyDescent="0.2">
      <c r="A1211" s="2" t="s">
        <v>30</v>
      </c>
      <c r="B1211" s="2" t="str">
        <f>"孟小琪"</f>
        <v>孟小琪</v>
      </c>
      <c r="C1211" s="2" t="str">
        <f>"女"</f>
        <v>女</v>
      </c>
      <c r="D1211" s="2" t="str">
        <f>"1991-05-24"</f>
        <v>1991-05-24</v>
      </c>
    </row>
    <row r="1212" spans="1:4" ht="15.75" customHeight="1" x14ac:dyDescent="0.2">
      <c r="A1212" s="2" t="s">
        <v>44</v>
      </c>
      <c r="B1212" s="2" t="str">
        <f>"张斌"</f>
        <v>张斌</v>
      </c>
      <c r="C1212" s="2" t="str">
        <f>"男"</f>
        <v>男</v>
      </c>
      <c r="D1212" s="2" t="str">
        <f>"1995-09-01"</f>
        <v>1995-09-01</v>
      </c>
    </row>
    <row r="1213" spans="1:4" ht="15.75" customHeight="1" x14ac:dyDescent="0.2">
      <c r="A1213" s="2" t="s">
        <v>23</v>
      </c>
      <c r="B1213" s="2" t="str">
        <f>"张杰"</f>
        <v>张杰</v>
      </c>
      <c r="C1213" s="2" t="str">
        <f>"男"</f>
        <v>男</v>
      </c>
      <c r="D1213" s="2" t="str">
        <f>"1995-07-20"</f>
        <v>1995-07-20</v>
      </c>
    </row>
    <row r="1214" spans="1:4" ht="15.75" customHeight="1" x14ac:dyDescent="0.2">
      <c r="A1214" s="2" t="s">
        <v>8</v>
      </c>
      <c r="B1214" s="2" t="str">
        <f>"张敏"</f>
        <v>张敏</v>
      </c>
      <c r="C1214" s="2" t="str">
        <f>"女"</f>
        <v>女</v>
      </c>
      <c r="D1214" s="2" t="str">
        <f>"1997-10-14"</f>
        <v>1997-10-14</v>
      </c>
    </row>
    <row r="1215" spans="1:4" ht="15.75" customHeight="1" x14ac:dyDescent="0.2">
      <c r="A1215" s="2" t="s">
        <v>41</v>
      </c>
      <c r="B1215" s="2" t="str">
        <f>"陈征"</f>
        <v>陈征</v>
      </c>
      <c r="C1215" s="2" t="str">
        <f>"男"</f>
        <v>男</v>
      </c>
      <c r="D1215" s="2" t="str">
        <f>"1996-02-02"</f>
        <v>1996-02-02</v>
      </c>
    </row>
    <row r="1216" spans="1:4" ht="15.75" customHeight="1" x14ac:dyDescent="0.2">
      <c r="A1216" s="2" t="s">
        <v>57</v>
      </c>
      <c r="B1216" s="2" t="str">
        <f>"孙燕"</f>
        <v>孙燕</v>
      </c>
      <c r="C1216" s="2" t="str">
        <f>"女"</f>
        <v>女</v>
      </c>
      <c r="D1216" s="2" t="str">
        <f>"1986-01-02"</f>
        <v>1986-01-02</v>
      </c>
    </row>
    <row r="1217" spans="1:4" ht="15.75" customHeight="1" x14ac:dyDescent="0.2">
      <c r="A1217" s="2" t="s">
        <v>17</v>
      </c>
      <c r="B1217" s="2" t="str">
        <f>"向远东"</f>
        <v>向远东</v>
      </c>
      <c r="C1217" s="2" t="str">
        <f>"男"</f>
        <v>男</v>
      </c>
      <c r="D1217" s="2" t="str">
        <f>"1994-10-28"</f>
        <v>1994-10-28</v>
      </c>
    </row>
    <row r="1218" spans="1:4" ht="15.75" customHeight="1" x14ac:dyDescent="0.2">
      <c r="A1218" s="2" t="s">
        <v>30</v>
      </c>
      <c r="B1218" s="2" t="str">
        <f>"余素萍"</f>
        <v>余素萍</v>
      </c>
      <c r="C1218" s="2" t="str">
        <f>"女"</f>
        <v>女</v>
      </c>
      <c r="D1218" s="2" t="str">
        <f>"1995-08-06"</f>
        <v>1995-08-06</v>
      </c>
    </row>
    <row r="1219" spans="1:4" ht="15.75" customHeight="1" x14ac:dyDescent="0.2">
      <c r="A1219" s="2" t="s">
        <v>8</v>
      </c>
      <c r="B1219" s="2" t="str">
        <f>"袁帅"</f>
        <v>袁帅</v>
      </c>
      <c r="C1219" s="2" t="str">
        <f>"男"</f>
        <v>男</v>
      </c>
      <c r="D1219" s="2" t="str">
        <f>"1989-12-12"</f>
        <v>1989-12-12</v>
      </c>
    </row>
    <row r="1220" spans="1:4" ht="15.75" customHeight="1" x14ac:dyDescent="0.2">
      <c r="A1220" s="2" t="s">
        <v>12</v>
      </c>
      <c r="B1220" s="2" t="str">
        <f>"刘力源"</f>
        <v>刘力源</v>
      </c>
      <c r="C1220" s="2" t="str">
        <f>"女"</f>
        <v>女</v>
      </c>
      <c r="D1220" s="2" t="str">
        <f>"1998-07-29"</f>
        <v>1998-07-29</v>
      </c>
    </row>
    <row r="1221" spans="1:4" ht="15.75" customHeight="1" x14ac:dyDescent="0.2">
      <c r="A1221" s="2" t="s">
        <v>22</v>
      </c>
      <c r="B1221" s="2" t="str">
        <f>"匡玥璇"</f>
        <v>匡玥璇</v>
      </c>
      <c r="C1221" s="2" t="str">
        <f>"女"</f>
        <v>女</v>
      </c>
      <c r="D1221" s="2" t="str">
        <f>"1997-11-07"</f>
        <v>1997-11-07</v>
      </c>
    </row>
    <row r="1222" spans="1:4" ht="15.75" customHeight="1" x14ac:dyDescent="0.2">
      <c r="A1222" s="2" t="s">
        <v>36</v>
      </c>
      <c r="B1222" s="2" t="str">
        <f>"余希凯"</f>
        <v>余希凯</v>
      </c>
      <c r="C1222" s="2" t="str">
        <f>"男"</f>
        <v>男</v>
      </c>
      <c r="D1222" s="2" t="str">
        <f>"1995-07-19"</f>
        <v>1995-07-19</v>
      </c>
    </row>
    <row r="1223" spans="1:4" ht="15.75" customHeight="1" x14ac:dyDescent="0.2">
      <c r="A1223" s="2" t="s">
        <v>34</v>
      </c>
      <c r="B1223" s="2" t="str">
        <f>"孙凯"</f>
        <v>孙凯</v>
      </c>
      <c r="C1223" s="2" t="str">
        <f>"男"</f>
        <v>男</v>
      </c>
      <c r="D1223" s="2" t="str">
        <f>"1997-12-11"</f>
        <v>1997-12-11</v>
      </c>
    </row>
    <row r="1224" spans="1:4" ht="15.75" customHeight="1" x14ac:dyDescent="0.2">
      <c r="A1224" s="2" t="s">
        <v>58</v>
      </c>
      <c r="B1224" s="2" t="str">
        <f>"孙悦"</f>
        <v>孙悦</v>
      </c>
      <c r="C1224" s="2" t="str">
        <f>"女"</f>
        <v>女</v>
      </c>
      <c r="D1224" s="2" t="str">
        <f>"1999-10-24"</f>
        <v>1999-10-24</v>
      </c>
    </row>
    <row r="1225" spans="1:4" ht="15.75" customHeight="1" x14ac:dyDescent="0.2">
      <c r="A1225" s="2" t="s">
        <v>14</v>
      </c>
      <c r="B1225" s="2" t="str">
        <f>"陈喻翔"</f>
        <v>陈喻翔</v>
      </c>
      <c r="C1225" s="2" t="str">
        <f>"男"</f>
        <v>男</v>
      </c>
      <c r="D1225" s="2" t="str">
        <f>"1996-07-13"</f>
        <v>1996-07-13</v>
      </c>
    </row>
    <row r="1226" spans="1:4" ht="15.75" customHeight="1" x14ac:dyDescent="0.2">
      <c r="A1226" s="2" t="s">
        <v>40</v>
      </c>
      <c r="B1226" s="2" t="str">
        <f>"刘蓓"</f>
        <v>刘蓓</v>
      </c>
      <c r="C1226" s="2" t="str">
        <f>"女"</f>
        <v>女</v>
      </c>
      <c r="D1226" s="2" t="str">
        <f>"1992-08-08"</f>
        <v>1992-08-08</v>
      </c>
    </row>
    <row r="1227" spans="1:4" ht="15.75" customHeight="1" x14ac:dyDescent="0.2">
      <c r="A1227" s="2" t="s">
        <v>20</v>
      </c>
      <c r="B1227" s="2" t="str">
        <f>"万力"</f>
        <v>万力</v>
      </c>
      <c r="C1227" s="2" t="str">
        <f>"男"</f>
        <v>男</v>
      </c>
      <c r="D1227" s="2" t="str">
        <f>"1996-03-08"</f>
        <v>1996-03-08</v>
      </c>
    </row>
    <row r="1228" spans="1:4" ht="15.75" customHeight="1" x14ac:dyDescent="0.2">
      <c r="A1228" s="2" t="s">
        <v>43</v>
      </c>
      <c r="B1228" s="2" t="str">
        <f>"段伟"</f>
        <v>段伟</v>
      </c>
      <c r="C1228" s="2" t="str">
        <f>"男"</f>
        <v>男</v>
      </c>
      <c r="D1228" s="2" t="str">
        <f>"1987-11-12"</f>
        <v>1987-11-12</v>
      </c>
    </row>
    <row r="1229" spans="1:4" ht="15.75" customHeight="1" x14ac:dyDescent="0.2">
      <c r="A1229" s="2" t="s">
        <v>28</v>
      </c>
      <c r="B1229" s="2" t="str">
        <f>"郑梦雅"</f>
        <v>郑梦雅</v>
      </c>
      <c r="C1229" s="2" t="str">
        <f>"男"</f>
        <v>男</v>
      </c>
      <c r="D1229" s="2" t="str">
        <f>"1997-12-01"</f>
        <v>1997-12-01</v>
      </c>
    </row>
    <row r="1230" spans="1:4" ht="15.75" customHeight="1" x14ac:dyDescent="0.2">
      <c r="A1230" s="2" t="s">
        <v>24</v>
      </c>
      <c r="B1230" s="2" t="str">
        <f>"刘琰"</f>
        <v>刘琰</v>
      </c>
      <c r="C1230" s="2" t="str">
        <f>"男"</f>
        <v>男</v>
      </c>
      <c r="D1230" s="2" t="str">
        <f>"1989-10-05"</f>
        <v>1989-10-05</v>
      </c>
    </row>
    <row r="1231" spans="1:4" ht="15.75" customHeight="1" x14ac:dyDescent="0.2">
      <c r="A1231" s="2" t="s">
        <v>31</v>
      </c>
      <c r="B1231" s="2" t="str">
        <f>"万遥"</f>
        <v>万遥</v>
      </c>
      <c r="C1231" s="2" t="str">
        <f>"男"</f>
        <v>男</v>
      </c>
      <c r="D1231" s="2" t="str">
        <f>"1993-05-29"</f>
        <v>1993-05-29</v>
      </c>
    </row>
    <row r="1232" spans="1:4" ht="15.75" customHeight="1" x14ac:dyDescent="0.2">
      <c r="A1232" s="2" t="s">
        <v>24</v>
      </c>
      <c r="B1232" s="2" t="str">
        <f>"熊琴"</f>
        <v>熊琴</v>
      </c>
      <c r="C1232" s="2" t="str">
        <f>"女"</f>
        <v>女</v>
      </c>
      <c r="D1232" s="2" t="str">
        <f>"1988-07-26"</f>
        <v>1988-07-26</v>
      </c>
    </row>
    <row r="1233" spans="1:4" ht="15.75" customHeight="1" x14ac:dyDescent="0.2">
      <c r="A1233" s="2" t="s">
        <v>8</v>
      </c>
      <c r="B1233" s="2" t="str">
        <f>"刘欣"</f>
        <v>刘欣</v>
      </c>
      <c r="C1233" s="2" t="str">
        <f>"女"</f>
        <v>女</v>
      </c>
      <c r="D1233" s="2" t="str">
        <f>"1999-10-01"</f>
        <v>1999-10-01</v>
      </c>
    </row>
    <row r="1234" spans="1:4" ht="15.75" customHeight="1" x14ac:dyDescent="0.2">
      <c r="A1234" s="2" t="s">
        <v>36</v>
      </c>
      <c r="B1234" s="2" t="str">
        <f>"邓建"</f>
        <v>邓建</v>
      </c>
      <c r="C1234" s="2" t="str">
        <f>"男"</f>
        <v>男</v>
      </c>
      <c r="D1234" s="2" t="str">
        <f>"1996-01-28"</f>
        <v>1996-01-28</v>
      </c>
    </row>
    <row r="1235" spans="1:4" ht="15.75" customHeight="1" x14ac:dyDescent="0.2">
      <c r="A1235" s="2" t="s">
        <v>41</v>
      </c>
      <c r="B1235" s="2" t="str">
        <f>"敬晓颖"</f>
        <v>敬晓颖</v>
      </c>
      <c r="C1235" s="2" t="str">
        <f>"女"</f>
        <v>女</v>
      </c>
      <c r="D1235" s="2" t="str">
        <f>"1996-11-10"</f>
        <v>1996-11-10</v>
      </c>
    </row>
    <row r="1236" spans="1:4" ht="15.75" customHeight="1" x14ac:dyDescent="0.2">
      <c r="A1236" s="2" t="s">
        <v>40</v>
      </c>
      <c r="B1236" s="2" t="str">
        <f>"王吟竹"</f>
        <v>王吟竹</v>
      </c>
      <c r="C1236" s="2" t="str">
        <f>"女"</f>
        <v>女</v>
      </c>
      <c r="D1236" s="2" t="str">
        <f>"1997-12-20"</f>
        <v>1997-12-20</v>
      </c>
    </row>
    <row r="1237" spans="1:4" ht="15.75" customHeight="1" x14ac:dyDescent="0.2">
      <c r="A1237" s="2" t="s">
        <v>56</v>
      </c>
      <c r="B1237" s="2" t="str">
        <f>"李可儿"</f>
        <v>李可儿</v>
      </c>
      <c r="C1237" s="2" t="str">
        <f>"女"</f>
        <v>女</v>
      </c>
      <c r="D1237" s="2" t="str">
        <f>"1994-06-11"</f>
        <v>1994-06-11</v>
      </c>
    </row>
    <row r="1238" spans="1:4" ht="15.75" customHeight="1" x14ac:dyDescent="0.2">
      <c r="A1238" s="2" t="s">
        <v>67</v>
      </c>
      <c r="B1238" s="2" t="str">
        <f>"黄兴兴"</f>
        <v>黄兴兴</v>
      </c>
      <c r="C1238" s="2" t="str">
        <f>"男"</f>
        <v>男</v>
      </c>
      <c r="D1238" s="2" t="str">
        <f>"1990-04-06"</f>
        <v>1990-04-06</v>
      </c>
    </row>
    <row r="1239" spans="1:4" ht="15.75" customHeight="1" x14ac:dyDescent="0.2">
      <c r="A1239" s="2" t="s">
        <v>25</v>
      </c>
      <c r="B1239" s="2" t="str">
        <f>"岳明"</f>
        <v>岳明</v>
      </c>
      <c r="C1239" s="2" t="str">
        <f>"女"</f>
        <v>女</v>
      </c>
      <c r="D1239" s="2" t="str">
        <f>"1998-01-02"</f>
        <v>1998-01-02</v>
      </c>
    </row>
    <row r="1240" spans="1:4" ht="15.75" customHeight="1" x14ac:dyDescent="0.2">
      <c r="A1240" s="2" t="s">
        <v>30</v>
      </c>
      <c r="B1240" s="2" t="str">
        <f>"张媛媛"</f>
        <v>张媛媛</v>
      </c>
      <c r="C1240" s="2" t="str">
        <f>"女"</f>
        <v>女</v>
      </c>
      <c r="D1240" s="2" t="str">
        <f>"1991-12-21"</f>
        <v>1991-12-21</v>
      </c>
    </row>
    <row r="1241" spans="1:4" ht="15.75" customHeight="1" x14ac:dyDescent="0.2">
      <c r="A1241" s="2" t="s">
        <v>28</v>
      </c>
      <c r="B1241" s="2" t="str">
        <f>"李婉华"</f>
        <v>李婉华</v>
      </c>
      <c r="C1241" s="2" t="str">
        <f>"女"</f>
        <v>女</v>
      </c>
      <c r="D1241" s="2" t="str">
        <f>"1999-03-22"</f>
        <v>1999-03-22</v>
      </c>
    </row>
    <row r="1242" spans="1:4" ht="15.75" customHeight="1" x14ac:dyDescent="0.2">
      <c r="A1242" s="2" t="s">
        <v>30</v>
      </c>
      <c r="B1242" s="2" t="str">
        <f>"陈鹏"</f>
        <v>陈鹏</v>
      </c>
      <c r="C1242" s="2" t="str">
        <f>"男"</f>
        <v>男</v>
      </c>
      <c r="D1242" s="2" t="str">
        <f>"1990-07-14"</f>
        <v>1990-07-14</v>
      </c>
    </row>
    <row r="1243" spans="1:4" ht="15.75" customHeight="1" x14ac:dyDescent="0.2">
      <c r="A1243" s="2" t="s">
        <v>5</v>
      </c>
      <c r="B1243" s="2" t="str">
        <f>"李清远"</f>
        <v>李清远</v>
      </c>
      <c r="C1243" s="2" t="str">
        <f>"男"</f>
        <v>男</v>
      </c>
      <c r="D1243" s="2" t="str">
        <f>"1994-10-05"</f>
        <v>1994-10-05</v>
      </c>
    </row>
    <row r="1244" spans="1:4" ht="15.75" customHeight="1" x14ac:dyDescent="0.2">
      <c r="A1244" s="2" t="s">
        <v>41</v>
      </c>
      <c r="B1244" s="2" t="str">
        <f>"胡万莉"</f>
        <v>胡万莉</v>
      </c>
      <c r="C1244" s="2" t="str">
        <f>"女"</f>
        <v>女</v>
      </c>
      <c r="D1244" s="2" t="str">
        <f>"1997-07-27"</f>
        <v>1997-07-27</v>
      </c>
    </row>
    <row r="1245" spans="1:4" ht="15.75" customHeight="1" x14ac:dyDescent="0.2">
      <c r="A1245" s="2" t="s">
        <v>20</v>
      </c>
      <c r="B1245" s="2" t="str">
        <f>"吴涛"</f>
        <v>吴涛</v>
      </c>
      <c r="C1245" s="2" t="str">
        <f>"男"</f>
        <v>男</v>
      </c>
      <c r="D1245" s="2" t="str">
        <f>"1994-04-12"</f>
        <v>1994-04-12</v>
      </c>
    </row>
    <row r="1246" spans="1:4" ht="15.75" customHeight="1" x14ac:dyDescent="0.2">
      <c r="A1246" s="2" t="s">
        <v>22</v>
      </c>
      <c r="B1246" s="2" t="str">
        <f>"邓娟"</f>
        <v>邓娟</v>
      </c>
      <c r="C1246" s="2" t="str">
        <f>"女"</f>
        <v>女</v>
      </c>
      <c r="D1246" s="2" t="str">
        <f>"1997-10-22"</f>
        <v>1997-10-22</v>
      </c>
    </row>
    <row r="1247" spans="1:4" ht="15.75" customHeight="1" x14ac:dyDescent="0.2">
      <c r="A1247" s="2" t="s">
        <v>14</v>
      </c>
      <c r="B1247" s="2" t="str">
        <f>"高军"</f>
        <v>高军</v>
      </c>
      <c r="C1247" s="2" t="str">
        <f>"男"</f>
        <v>男</v>
      </c>
      <c r="D1247" s="2" t="str">
        <f>"1993-03-25"</f>
        <v>1993-03-25</v>
      </c>
    </row>
    <row r="1248" spans="1:4" ht="15.75" customHeight="1" x14ac:dyDescent="0.2">
      <c r="A1248" s="2" t="s">
        <v>14</v>
      </c>
      <c r="B1248" s="2" t="str">
        <f>"卢雅琪"</f>
        <v>卢雅琪</v>
      </c>
      <c r="C1248" s="2" t="str">
        <f>"女"</f>
        <v>女</v>
      </c>
      <c r="D1248" s="2" t="str">
        <f>"1998-10-28"</f>
        <v>1998-10-28</v>
      </c>
    </row>
    <row r="1249" spans="1:4" ht="15.75" customHeight="1" x14ac:dyDescent="0.2">
      <c r="A1249" s="2" t="s">
        <v>13</v>
      </c>
      <c r="B1249" s="2" t="str">
        <f>"张欢"</f>
        <v>张欢</v>
      </c>
      <c r="C1249" s="2" t="str">
        <f>"女"</f>
        <v>女</v>
      </c>
      <c r="D1249" s="2" t="str">
        <f>"1994-10-20"</f>
        <v>1994-10-20</v>
      </c>
    </row>
    <row r="1250" spans="1:4" ht="15.75" customHeight="1" x14ac:dyDescent="0.2">
      <c r="A1250" s="2" t="s">
        <v>70</v>
      </c>
      <c r="B1250" s="2" t="str">
        <f>"凡晶晶"</f>
        <v>凡晶晶</v>
      </c>
      <c r="C1250" s="2" t="str">
        <f>"女"</f>
        <v>女</v>
      </c>
      <c r="D1250" s="2" t="str">
        <f>"1991-03-04"</f>
        <v>1991-03-04</v>
      </c>
    </row>
    <row r="1251" spans="1:4" ht="15.75" customHeight="1" x14ac:dyDescent="0.2">
      <c r="A1251" s="2" t="s">
        <v>10</v>
      </c>
      <c r="B1251" s="2" t="str">
        <f>"丁一玲"</f>
        <v>丁一玲</v>
      </c>
      <c r="C1251" s="2" t="str">
        <f>"女"</f>
        <v>女</v>
      </c>
      <c r="D1251" s="2" t="str">
        <f>"1997-11-07"</f>
        <v>1997-11-07</v>
      </c>
    </row>
    <row r="1252" spans="1:4" ht="15.75" customHeight="1" x14ac:dyDescent="0.2">
      <c r="A1252" s="2" t="s">
        <v>41</v>
      </c>
      <c r="B1252" s="2" t="str">
        <f>"刘梁"</f>
        <v>刘梁</v>
      </c>
      <c r="C1252" s="2" t="str">
        <f>"男"</f>
        <v>男</v>
      </c>
      <c r="D1252" s="2" t="str">
        <f>"1997-12-06"</f>
        <v>1997-12-06</v>
      </c>
    </row>
    <row r="1253" spans="1:4" ht="15.75" customHeight="1" x14ac:dyDescent="0.2">
      <c r="A1253" s="2" t="s">
        <v>28</v>
      </c>
      <c r="B1253" s="2" t="str">
        <f>"朱华"</f>
        <v>朱华</v>
      </c>
      <c r="C1253" s="2" t="str">
        <f>"女"</f>
        <v>女</v>
      </c>
      <c r="D1253" s="2" t="str">
        <f>"1992-11-26"</f>
        <v>1992-11-26</v>
      </c>
    </row>
    <row r="1254" spans="1:4" ht="15.75" customHeight="1" x14ac:dyDescent="0.2">
      <c r="A1254" s="2" t="s">
        <v>66</v>
      </c>
      <c r="B1254" s="2" t="str">
        <f>"郑经泾"</f>
        <v>郑经泾</v>
      </c>
      <c r="C1254" s="2" t="str">
        <f>"女"</f>
        <v>女</v>
      </c>
      <c r="D1254" s="2" t="str">
        <f>"1994-09-08"</f>
        <v>1994-09-08</v>
      </c>
    </row>
    <row r="1255" spans="1:4" ht="15.75" customHeight="1" x14ac:dyDescent="0.2">
      <c r="A1255" s="2" t="s">
        <v>24</v>
      </c>
      <c r="B1255" s="2" t="str">
        <f>"刘宇林"</f>
        <v>刘宇林</v>
      </c>
      <c r="C1255" s="2" t="str">
        <f>"男"</f>
        <v>男</v>
      </c>
      <c r="D1255" s="2" t="str">
        <f>"1995-09-06"</f>
        <v>1995-09-06</v>
      </c>
    </row>
    <row r="1256" spans="1:4" ht="15.75" customHeight="1" x14ac:dyDescent="0.2">
      <c r="A1256" s="2" t="s">
        <v>67</v>
      </c>
      <c r="B1256" s="2" t="str">
        <f>"赵伟"</f>
        <v>赵伟</v>
      </c>
      <c r="C1256" s="2" t="str">
        <f>"男"</f>
        <v>男</v>
      </c>
      <c r="D1256" s="2" t="str">
        <f>"1990-06-12"</f>
        <v>1990-06-12</v>
      </c>
    </row>
    <row r="1257" spans="1:4" ht="15.75" customHeight="1" x14ac:dyDescent="0.2">
      <c r="A1257" s="2" t="s">
        <v>18</v>
      </c>
      <c r="B1257" s="2" t="str">
        <f>"雷无语"</f>
        <v>雷无语</v>
      </c>
      <c r="C1257" s="2" t="str">
        <f>"女"</f>
        <v>女</v>
      </c>
      <c r="D1257" s="2" t="str">
        <f>"1996-06-21"</f>
        <v>1996-06-21</v>
      </c>
    </row>
    <row r="1258" spans="1:4" ht="15.75" customHeight="1" x14ac:dyDescent="0.2">
      <c r="A1258" s="2" t="s">
        <v>28</v>
      </c>
      <c r="B1258" s="2" t="str">
        <f>"梁磊"</f>
        <v>梁磊</v>
      </c>
      <c r="C1258" s="2" t="str">
        <f>"男"</f>
        <v>男</v>
      </c>
      <c r="D1258" s="2" t="str">
        <f>"1998-07-18"</f>
        <v>1998-07-18</v>
      </c>
    </row>
    <row r="1259" spans="1:4" ht="15.75" customHeight="1" x14ac:dyDescent="0.2">
      <c r="A1259" s="2" t="s">
        <v>17</v>
      </c>
      <c r="B1259" s="2" t="str">
        <f>"马运生"</f>
        <v>马运生</v>
      </c>
      <c r="C1259" s="2" t="str">
        <f>"男"</f>
        <v>男</v>
      </c>
      <c r="D1259" s="2" t="str">
        <f>"1994-04-25"</f>
        <v>1994-04-25</v>
      </c>
    </row>
    <row r="1260" spans="1:4" ht="15.75" customHeight="1" x14ac:dyDescent="0.2">
      <c r="A1260" s="2" t="s">
        <v>62</v>
      </c>
      <c r="B1260" s="2" t="str">
        <f>"吴雄彪"</f>
        <v>吴雄彪</v>
      </c>
      <c r="C1260" s="2" t="str">
        <f>"男"</f>
        <v>男</v>
      </c>
      <c r="D1260" s="2" t="str">
        <f>"1992-08-28"</f>
        <v>1992-08-28</v>
      </c>
    </row>
    <row r="1261" spans="1:4" ht="15.75" customHeight="1" x14ac:dyDescent="0.2">
      <c r="A1261" s="2" t="s">
        <v>20</v>
      </c>
      <c r="B1261" s="2" t="str">
        <f>"徐武"</f>
        <v>徐武</v>
      </c>
      <c r="C1261" s="2" t="str">
        <f>"男"</f>
        <v>男</v>
      </c>
      <c r="D1261" s="2" t="str">
        <f>"1997-09-19"</f>
        <v>1997-09-19</v>
      </c>
    </row>
    <row r="1262" spans="1:4" ht="15.75" customHeight="1" x14ac:dyDescent="0.2">
      <c r="A1262" s="2" t="s">
        <v>26</v>
      </c>
      <c r="B1262" s="2" t="str">
        <f>"傅玉立"</f>
        <v>傅玉立</v>
      </c>
      <c r="C1262" s="2" t="str">
        <f>"女"</f>
        <v>女</v>
      </c>
      <c r="D1262" s="2" t="str">
        <f>"1991-03-29"</f>
        <v>1991-03-29</v>
      </c>
    </row>
    <row r="1263" spans="1:4" ht="15.75" customHeight="1" x14ac:dyDescent="0.2">
      <c r="A1263" s="2" t="s">
        <v>50</v>
      </c>
      <c r="B1263" s="2" t="str">
        <f>"杨淇"</f>
        <v>杨淇</v>
      </c>
      <c r="C1263" s="2" t="str">
        <f>"女"</f>
        <v>女</v>
      </c>
      <c r="D1263" s="2" t="str">
        <f>"1998-05-26"</f>
        <v>1998-05-26</v>
      </c>
    </row>
    <row r="1264" spans="1:4" ht="15.75" customHeight="1" x14ac:dyDescent="0.2">
      <c r="A1264" s="2" t="s">
        <v>13</v>
      </c>
      <c r="B1264" s="2" t="str">
        <f>"化天奇"</f>
        <v>化天奇</v>
      </c>
      <c r="C1264" s="2" t="str">
        <f>"男"</f>
        <v>男</v>
      </c>
      <c r="D1264" s="2" t="str">
        <f>"1993-04-25"</f>
        <v>1993-04-25</v>
      </c>
    </row>
    <row r="1265" spans="1:4" ht="15.75" customHeight="1" x14ac:dyDescent="0.2">
      <c r="A1265" s="2" t="s">
        <v>40</v>
      </c>
      <c r="B1265" s="2" t="str">
        <f>"万香"</f>
        <v>万香</v>
      </c>
      <c r="C1265" s="2" t="str">
        <f>"女"</f>
        <v>女</v>
      </c>
      <c r="D1265" s="2" t="str">
        <f>"1995-04-18"</f>
        <v>1995-04-18</v>
      </c>
    </row>
    <row r="1266" spans="1:4" ht="15.75" customHeight="1" x14ac:dyDescent="0.2">
      <c r="A1266" s="2" t="s">
        <v>22</v>
      </c>
      <c r="B1266" s="2" t="str">
        <f>"王逸文"</f>
        <v>王逸文</v>
      </c>
      <c r="C1266" s="2" t="str">
        <f>"女"</f>
        <v>女</v>
      </c>
      <c r="D1266" s="2" t="str">
        <f>"1997-07-16"</f>
        <v>1997-07-16</v>
      </c>
    </row>
    <row r="1267" spans="1:4" ht="15.75" customHeight="1" x14ac:dyDescent="0.2">
      <c r="A1267" s="2" t="s">
        <v>36</v>
      </c>
      <c r="B1267" s="2" t="str">
        <f>"汤杨子"</f>
        <v>汤杨子</v>
      </c>
      <c r="C1267" s="2" t="str">
        <f>"女"</f>
        <v>女</v>
      </c>
      <c r="D1267" s="2" t="str">
        <f>"1994-02-20"</f>
        <v>1994-02-20</v>
      </c>
    </row>
    <row r="1268" spans="1:4" ht="15.75" customHeight="1" x14ac:dyDescent="0.2">
      <c r="A1268" s="2" t="s">
        <v>15</v>
      </c>
      <c r="B1268" s="2" t="str">
        <f>"谢丽"</f>
        <v>谢丽</v>
      </c>
      <c r="C1268" s="2" t="str">
        <f>"女"</f>
        <v>女</v>
      </c>
      <c r="D1268" s="2" t="str">
        <f>"1995-08-04"</f>
        <v>1995-08-04</v>
      </c>
    </row>
    <row r="1269" spans="1:4" ht="15.75" customHeight="1" x14ac:dyDescent="0.2">
      <c r="A1269" s="2" t="s">
        <v>50</v>
      </c>
      <c r="B1269" s="2" t="str">
        <f>"向曾"</f>
        <v>向曾</v>
      </c>
      <c r="C1269" s="2" t="str">
        <f>"女"</f>
        <v>女</v>
      </c>
      <c r="D1269" s="2" t="str">
        <f>"1997-12-15"</f>
        <v>1997-12-15</v>
      </c>
    </row>
    <row r="1270" spans="1:4" ht="15.75" customHeight="1" x14ac:dyDescent="0.2">
      <c r="A1270" s="2" t="s">
        <v>14</v>
      </c>
      <c r="B1270" s="2" t="str">
        <f>"徐军"</f>
        <v>徐军</v>
      </c>
      <c r="C1270" s="2" t="str">
        <f>"男"</f>
        <v>男</v>
      </c>
      <c r="D1270" s="2" t="str">
        <f>"1990-11-10"</f>
        <v>1990-11-10</v>
      </c>
    </row>
    <row r="1271" spans="1:4" ht="15.75" customHeight="1" x14ac:dyDescent="0.2">
      <c r="A1271" s="2" t="s">
        <v>58</v>
      </c>
      <c r="B1271" s="2" t="str">
        <f>"唐芳"</f>
        <v>唐芳</v>
      </c>
      <c r="C1271" s="2" t="str">
        <f>"女"</f>
        <v>女</v>
      </c>
      <c r="D1271" s="2" t="str">
        <f>"2000-05-25"</f>
        <v>2000-05-25</v>
      </c>
    </row>
    <row r="1272" spans="1:4" ht="15.75" customHeight="1" x14ac:dyDescent="0.2">
      <c r="A1272" s="2" t="s">
        <v>8</v>
      </c>
      <c r="B1272" s="2" t="str">
        <f>"李颖"</f>
        <v>李颖</v>
      </c>
      <c r="C1272" s="2" t="str">
        <f>"女"</f>
        <v>女</v>
      </c>
      <c r="D1272" s="2" t="str">
        <f>"1995-05-24"</f>
        <v>1995-05-24</v>
      </c>
    </row>
    <row r="1273" spans="1:4" ht="15.75" customHeight="1" x14ac:dyDescent="0.2">
      <c r="A1273" s="2" t="s">
        <v>36</v>
      </c>
      <c r="B1273" s="2" t="str">
        <f>"彭平凡"</f>
        <v>彭平凡</v>
      </c>
      <c r="C1273" s="2" t="str">
        <f>"女"</f>
        <v>女</v>
      </c>
      <c r="D1273" s="2" t="str">
        <f>"1997-07-03"</f>
        <v>1997-07-03</v>
      </c>
    </row>
    <row r="1274" spans="1:4" ht="15.75" customHeight="1" x14ac:dyDescent="0.2">
      <c r="A1274" s="2" t="s">
        <v>27</v>
      </c>
      <c r="B1274" s="2" t="str">
        <f>"汪琳"</f>
        <v>汪琳</v>
      </c>
      <c r="C1274" s="2" t="str">
        <f>"女"</f>
        <v>女</v>
      </c>
      <c r="D1274" s="2" t="str">
        <f>"1999-04-24"</f>
        <v>1999-04-24</v>
      </c>
    </row>
    <row r="1275" spans="1:4" ht="15.75" customHeight="1" x14ac:dyDescent="0.2">
      <c r="A1275" s="2" t="s">
        <v>8</v>
      </c>
      <c r="B1275" s="2" t="str">
        <f>"谢玖辉"</f>
        <v>谢玖辉</v>
      </c>
      <c r="C1275" s="2" t="str">
        <f>"男"</f>
        <v>男</v>
      </c>
      <c r="D1275" s="2" t="str">
        <f>"1994-09-17"</f>
        <v>1994-09-17</v>
      </c>
    </row>
    <row r="1276" spans="1:4" ht="15.75" customHeight="1" x14ac:dyDescent="0.2">
      <c r="A1276" s="2" t="s">
        <v>52</v>
      </c>
      <c r="B1276" s="2" t="str">
        <f>"胡妙词"</f>
        <v>胡妙词</v>
      </c>
      <c r="C1276" s="2" t="str">
        <f>"女"</f>
        <v>女</v>
      </c>
      <c r="D1276" s="2" t="str">
        <f>"1993-01-07"</f>
        <v>1993-01-07</v>
      </c>
    </row>
    <row r="1277" spans="1:4" ht="15.75" customHeight="1" x14ac:dyDescent="0.2">
      <c r="A1277" s="2" t="s">
        <v>36</v>
      </c>
      <c r="B1277" s="2" t="str">
        <f>"黄梦莹"</f>
        <v>黄梦莹</v>
      </c>
      <c r="C1277" s="2" t="str">
        <f>"女"</f>
        <v>女</v>
      </c>
      <c r="D1277" s="2" t="str">
        <f>"1997-11-15"</f>
        <v>1997-11-15</v>
      </c>
    </row>
    <row r="1278" spans="1:4" ht="15.75" customHeight="1" x14ac:dyDescent="0.2">
      <c r="A1278" s="2" t="s">
        <v>40</v>
      </c>
      <c r="B1278" s="2" t="str">
        <f>"徐子璇"</f>
        <v>徐子璇</v>
      </c>
      <c r="C1278" s="2" t="str">
        <f>"女"</f>
        <v>女</v>
      </c>
      <c r="D1278" s="2" t="str">
        <f>"1998-09-18"</f>
        <v>1998-09-18</v>
      </c>
    </row>
    <row r="1279" spans="1:4" ht="15.75" customHeight="1" x14ac:dyDescent="0.2">
      <c r="A1279" s="2" t="s">
        <v>20</v>
      </c>
      <c r="B1279" s="2" t="str">
        <f>"熊程程"</f>
        <v>熊程程</v>
      </c>
      <c r="C1279" s="2" t="str">
        <f>"男"</f>
        <v>男</v>
      </c>
      <c r="D1279" s="2" t="str">
        <f>"1993-04-30"</f>
        <v>1993-04-30</v>
      </c>
    </row>
    <row r="1280" spans="1:4" ht="15.75" customHeight="1" x14ac:dyDescent="0.2">
      <c r="A1280" s="2" t="s">
        <v>8</v>
      </c>
      <c r="B1280" s="2" t="str">
        <f>"王丹"</f>
        <v>王丹</v>
      </c>
      <c r="C1280" s="2" t="str">
        <f>"女"</f>
        <v>女</v>
      </c>
      <c r="D1280" s="2" t="str">
        <f>"1990-05-29"</f>
        <v>1990-05-29</v>
      </c>
    </row>
    <row r="1281" spans="1:4" ht="15.75" customHeight="1" x14ac:dyDescent="0.2">
      <c r="A1281" s="2" t="s">
        <v>28</v>
      </c>
      <c r="B1281" s="2" t="str">
        <f>"黄韦韬"</f>
        <v>黄韦韬</v>
      </c>
      <c r="C1281" s="2" t="str">
        <f>"男"</f>
        <v>男</v>
      </c>
      <c r="D1281" s="2" t="str">
        <f>"1996-02-05"</f>
        <v>1996-02-05</v>
      </c>
    </row>
    <row r="1282" spans="1:4" ht="15.75" customHeight="1" x14ac:dyDescent="0.2">
      <c r="A1282" s="2" t="s">
        <v>43</v>
      </c>
      <c r="B1282" s="2" t="str">
        <f>"傅昊天"</f>
        <v>傅昊天</v>
      </c>
      <c r="C1282" s="2" t="str">
        <f>"男"</f>
        <v>男</v>
      </c>
      <c r="D1282" s="2" t="str">
        <f>"1999-07-09"</f>
        <v>1999-07-09</v>
      </c>
    </row>
    <row r="1283" spans="1:4" ht="15.75" customHeight="1" x14ac:dyDescent="0.2">
      <c r="A1283" s="2" t="s">
        <v>8</v>
      </c>
      <c r="B1283" s="2" t="str">
        <f>"赵丽娟"</f>
        <v>赵丽娟</v>
      </c>
      <c r="C1283" s="2" t="str">
        <f>"女"</f>
        <v>女</v>
      </c>
      <c r="D1283" s="2" t="str">
        <f>"1996-06-19"</f>
        <v>1996-06-19</v>
      </c>
    </row>
    <row r="1284" spans="1:4" ht="15.75" customHeight="1" x14ac:dyDescent="0.2">
      <c r="A1284" s="2" t="s">
        <v>17</v>
      </c>
      <c r="B1284" s="2" t="str">
        <f>"张杰"</f>
        <v>张杰</v>
      </c>
      <c r="C1284" s="2" t="str">
        <f>"男"</f>
        <v>男</v>
      </c>
      <c r="D1284" s="2" t="str">
        <f>"1996-10-09"</f>
        <v>1996-10-09</v>
      </c>
    </row>
    <row r="1285" spans="1:4" ht="15.75" customHeight="1" x14ac:dyDescent="0.2">
      <c r="A1285" s="2" t="s">
        <v>41</v>
      </c>
      <c r="B1285" s="2" t="str">
        <f>"刘小敏"</f>
        <v>刘小敏</v>
      </c>
      <c r="C1285" s="2" t="str">
        <f>"女"</f>
        <v>女</v>
      </c>
      <c r="D1285" s="2" t="str">
        <f>"1999-11-04"</f>
        <v>1999-11-04</v>
      </c>
    </row>
    <row r="1286" spans="1:4" ht="15.75" customHeight="1" x14ac:dyDescent="0.2">
      <c r="A1286" s="2" t="s">
        <v>18</v>
      </c>
      <c r="B1286" s="2" t="str">
        <f>"刘月军"</f>
        <v>刘月军</v>
      </c>
      <c r="C1286" s="2" t="str">
        <f>"男"</f>
        <v>男</v>
      </c>
      <c r="D1286" s="2" t="str">
        <f>"1990-12-22"</f>
        <v>1990-12-22</v>
      </c>
    </row>
    <row r="1287" spans="1:4" ht="15.75" customHeight="1" x14ac:dyDescent="0.2">
      <c r="A1287" s="2" t="s">
        <v>57</v>
      </c>
      <c r="B1287" s="2" t="str">
        <f>"刘澍"</f>
        <v>刘澍</v>
      </c>
      <c r="C1287" s="2" t="str">
        <f>"女"</f>
        <v>女</v>
      </c>
      <c r="D1287" s="2" t="str">
        <f>"1998-06-17"</f>
        <v>1998-06-17</v>
      </c>
    </row>
    <row r="1288" spans="1:4" ht="15.75" customHeight="1" x14ac:dyDescent="0.2">
      <c r="A1288" s="2" t="s">
        <v>52</v>
      </c>
      <c r="B1288" s="2" t="str">
        <f>"黎珊珊"</f>
        <v>黎珊珊</v>
      </c>
      <c r="C1288" s="2" t="str">
        <f>"女"</f>
        <v>女</v>
      </c>
      <c r="D1288" s="2" t="str">
        <f>"1994-02-16"</f>
        <v>1994-02-16</v>
      </c>
    </row>
    <row r="1289" spans="1:4" ht="15.75" customHeight="1" x14ac:dyDescent="0.2">
      <c r="A1289" s="2" t="s">
        <v>36</v>
      </c>
      <c r="B1289" s="2" t="str">
        <f>"彭薇颖"</f>
        <v>彭薇颖</v>
      </c>
      <c r="C1289" s="2" t="str">
        <f>"女"</f>
        <v>女</v>
      </c>
      <c r="D1289" s="2" t="str">
        <f>"2000-06-13"</f>
        <v>2000-06-13</v>
      </c>
    </row>
    <row r="1290" spans="1:4" ht="15.75" customHeight="1" x14ac:dyDescent="0.2">
      <c r="A1290" s="2" t="s">
        <v>30</v>
      </c>
      <c r="B1290" s="2" t="str">
        <f>"胡依念"</f>
        <v>胡依念</v>
      </c>
      <c r="C1290" s="2" t="str">
        <f>"女"</f>
        <v>女</v>
      </c>
      <c r="D1290" s="2" t="str">
        <f>"1991-02-22"</f>
        <v>1991-02-22</v>
      </c>
    </row>
    <row r="1291" spans="1:4" ht="15.75" customHeight="1" x14ac:dyDescent="0.2">
      <c r="A1291" s="2" t="s">
        <v>17</v>
      </c>
      <c r="B1291" s="2" t="str">
        <f>"贵旭东"</f>
        <v>贵旭东</v>
      </c>
      <c r="C1291" s="2" t="str">
        <f>"男"</f>
        <v>男</v>
      </c>
      <c r="D1291" s="2" t="str">
        <f>"1999-07-04"</f>
        <v>1999-07-04</v>
      </c>
    </row>
    <row r="1292" spans="1:4" ht="15.75" customHeight="1" x14ac:dyDescent="0.2">
      <c r="A1292" s="2" t="s">
        <v>42</v>
      </c>
      <c r="B1292" s="2" t="str">
        <f>"祝士颖"</f>
        <v>祝士颖</v>
      </c>
      <c r="C1292" s="2" t="str">
        <f>"女"</f>
        <v>女</v>
      </c>
      <c r="D1292" s="2" t="str">
        <f>"1998-12-31"</f>
        <v>1998-12-31</v>
      </c>
    </row>
    <row r="1293" spans="1:4" ht="15.75" customHeight="1" x14ac:dyDescent="0.2">
      <c r="A1293" s="2" t="s">
        <v>4</v>
      </c>
      <c r="B1293" s="2" t="str">
        <f>"李乐群"</f>
        <v>李乐群</v>
      </c>
      <c r="C1293" s="2" t="str">
        <f>"男"</f>
        <v>男</v>
      </c>
      <c r="D1293" s="2" t="str">
        <f>"1994-07-10"</f>
        <v>1994-07-10</v>
      </c>
    </row>
    <row r="1294" spans="1:4" ht="15.75" customHeight="1" x14ac:dyDescent="0.2">
      <c r="A1294" s="2" t="s">
        <v>63</v>
      </c>
      <c r="B1294" s="2" t="str">
        <f>"龚成明"</f>
        <v>龚成明</v>
      </c>
      <c r="C1294" s="2" t="str">
        <f>"男"</f>
        <v>男</v>
      </c>
      <c r="D1294" s="2" t="str">
        <f>"1988-06-22"</f>
        <v>1988-06-22</v>
      </c>
    </row>
    <row r="1295" spans="1:4" ht="15.75" customHeight="1" x14ac:dyDescent="0.2">
      <c r="A1295" s="2" t="s">
        <v>65</v>
      </c>
      <c r="B1295" s="2" t="str">
        <f>"黄辉"</f>
        <v>黄辉</v>
      </c>
      <c r="C1295" s="2" t="str">
        <f>"女"</f>
        <v>女</v>
      </c>
      <c r="D1295" s="2" t="str">
        <f>"1987-06-23"</f>
        <v>1987-06-23</v>
      </c>
    </row>
    <row r="1296" spans="1:4" ht="15.75" customHeight="1" x14ac:dyDescent="0.2">
      <c r="A1296" s="2" t="s">
        <v>13</v>
      </c>
      <c r="B1296" s="2" t="str">
        <f>"刘汪达"</f>
        <v>刘汪达</v>
      </c>
      <c r="C1296" s="2" t="str">
        <f>"男"</f>
        <v>男</v>
      </c>
      <c r="D1296" s="2" t="str">
        <f>"1999-01-18"</f>
        <v>1999-01-18</v>
      </c>
    </row>
    <row r="1297" spans="1:4" ht="15.75" customHeight="1" x14ac:dyDescent="0.2">
      <c r="A1297" s="2" t="s">
        <v>8</v>
      </c>
      <c r="B1297" s="2" t="str">
        <f>"向欢"</f>
        <v>向欢</v>
      </c>
      <c r="C1297" s="2" t="str">
        <f>"女"</f>
        <v>女</v>
      </c>
      <c r="D1297" s="2" t="str">
        <f>"1995-10-05"</f>
        <v>1995-10-05</v>
      </c>
    </row>
    <row r="1298" spans="1:4" ht="15.75" customHeight="1" x14ac:dyDescent="0.2">
      <c r="A1298" s="2" t="s">
        <v>34</v>
      </c>
      <c r="B1298" s="2" t="str">
        <f>"吴帅"</f>
        <v>吴帅</v>
      </c>
      <c r="C1298" s="2" t="str">
        <f>"男"</f>
        <v>男</v>
      </c>
      <c r="D1298" s="2" t="str">
        <f>"1996-03-24"</f>
        <v>1996-03-24</v>
      </c>
    </row>
    <row r="1299" spans="1:4" ht="15.75" customHeight="1" x14ac:dyDescent="0.2">
      <c r="A1299" s="2" t="s">
        <v>31</v>
      </c>
      <c r="B1299" s="2" t="str">
        <f>"王倩倩"</f>
        <v>王倩倩</v>
      </c>
      <c r="C1299" s="2" t="str">
        <f>"女"</f>
        <v>女</v>
      </c>
      <c r="D1299" s="2" t="str">
        <f>"1986-11-25"</f>
        <v>1986-11-25</v>
      </c>
    </row>
    <row r="1300" spans="1:4" ht="15.75" customHeight="1" x14ac:dyDescent="0.2">
      <c r="A1300" s="2" t="s">
        <v>16</v>
      </c>
      <c r="B1300" s="2" t="str">
        <f>"苏雨婷"</f>
        <v>苏雨婷</v>
      </c>
      <c r="C1300" s="2" t="str">
        <f>"女"</f>
        <v>女</v>
      </c>
      <c r="D1300" s="2" t="str">
        <f>"1997-07-01"</f>
        <v>1997-07-01</v>
      </c>
    </row>
    <row r="1301" spans="1:4" ht="15.75" customHeight="1" x14ac:dyDescent="0.2">
      <c r="A1301" s="2" t="s">
        <v>13</v>
      </c>
      <c r="B1301" s="2" t="str">
        <f>"鲁漩"</f>
        <v>鲁漩</v>
      </c>
      <c r="C1301" s="2" t="str">
        <f>"女"</f>
        <v>女</v>
      </c>
      <c r="D1301" s="2" t="str">
        <f>"2000-03-25"</f>
        <v>2000-03-25</v>
      </c>
    </row>
    <row r="1302" spans="1:4" ht="15.75" customHeight="1" x14ac:dyDescent="0.2">
      <c r="A1302" s="2" t="s">
        <v>32</v>
      </c>
      <c r="B1302" s="2" t="str">
        <f>"郭旭阳"</f>
        <v>郭旭阳</v>
      </c>
      <c r="C1302" s="2" t="str">
        <f>"男"</f>
        <v>男</v>
      </c>
      <c r="D1302" s="2" t="str">
        <f>"1994-01-16"</f>
        <v>1994-01-16</v>
      </c>
    </row>
    <row r="1303" spans="1:4" ht="15.75" customHeight="1" x14ac:dyDescent="0.2">
      <c r="A1303" s="2" t="s">
        <v>12</v>
      </c>
      <c r="B1303" s="2" t="str">
        <f>"郑渊文"</f>
        <v>郑渊文</v>
      </c>
      <c r="C1303" s="2" t="str">
        <f>"女"</f>
        <v>女</v>
      </c>
      <c r="D1303" s="2" t="str">
        <f>"1998-09-27"</f>
        <v>1998-09-27</v>
      </c>
    </row>
    <row r="1304" spans="1:4" ht="15.75" customHeight="1" x14ac:dyDescent="0.2">
      <c r="A1304" s="2" t="s">
        <v>34</v>
      </c>
      <c r="B1304" s="2" t="str">
        <f>"王志文"</f>
        <v>王志文</v>
      </c>
      <c r="C1304" s="2" t="str">
        <f>"男"</f>
        <v>男</v>
      </c>
      <c r="D1304" s="2" t="str">
        <f>"1996-10-25"</f>
        <v>1996-10-25</v>
      </c>
    </row>
    <row r="1305" spans="1:4" ht="15.75" customHeight="1" x14ac:dyDescent="0.2">
      <c r="A1305" s="2" t="s">
        <v>68</v>
      </c>
      <c r="B1305" s="2" t="str">
        <f>"朱芳"</f>
        <v>朱芳</v>
      </c>
      <c r="C1305" s="2" t="str">
        <f>"女"</f>
        <v>女</v>
      </c>
      <c r="D1305" s="2" t="str">
        <f>"1992-11-09"</f>
        <v>1992-11-09</v>
      </c>
    </row>
    <row r="1306" spans="1:4" ht="15.75" customHeight="1" x14ac:dyDescent="0.2">
      <c r="A1306" s="2" t="s">
        <v>33</v>
      </c>
      <c r="B1306" s="2" t="str">
        <f>"宁灿"</f>
        <v>宁灿</v>
      </c>
      <c r="C1306" s="2" t="str">
        <f>"女"</f>
        <v>女</v>
      </c>
      <c r="D1306" s="2" t="str">
        <f>"1994-06-23"</f>
        <v>1994-06-23</v>
      </c>
    </row>
    <row r="1307" spans="1:4" ht="15.75" customHeight="1" x14ac:dyDescent="0.2">
      <c r="A1307" s="2" t="s">
        <v>31</v>
      </c>
      <c r="B1307" s="2" t="str">
        <f>"文蓝琳"</f>
        <v>文蓝琳</v>
      </c>
      <c r="C1307" s="2" t="str">
        <f>"女"</f>
        <v>女</v>
      </c>
      <c r="D1307" s="2" t="str">
        <f>"1997-09-30"</f>
        <v>1997-09-30</v>
      </c>
    </row>
    <row r="1308" spans="1:4" ht="15.75" customHeight="1" x14ac:dyDescent="0.2">
      <c r="A1308" s="2" t="s">
        <v>31</v>
      </c>
      <c r="B1308" s="2" t="str">
        <f>"王赛"</f>
        <v>王赛</v>
      </c>
      <c r="C1308" s="2" t="str">
        <f>"女"</f>
        <v>女</v>
      </c>
      <c r="D1308" s="2" t="str">
        <f>"1986-06-16"</f>
        <v>1986-06-16</v>
      </c>
    </row>
    <row r="1309" spans="1:4" ht="15.75" customHeight="1" x14ac:dyDescent="0.2">
      <c r="A1309" s="2" t="s">
        <v>4</v>
      </c>
      <c r="B1309" s="2" t="str">
        <f>"任旭泰"</f>
        <v>任旭泰</v>
      </c>
      <c r="C1309" s="2" t="str">
        <f>"男"</f>
        <v>男</v>
      </c>
      <c r="D1309" s="2" t="str">
        <f>"1992-07-21"</f>
        <v>1992-07-21</v>
      </c>
    </row>
    <row r="1310" spans="1:4" ht="15.75" customHeight="1" x14ac:dyDescent="0.2">
      <c r="A1310" s="2" t="s">
        <v>15</v>
      </c>
      <c r="B1310" s="2" t="str">
        <f>"朱月"</f>
        <v>朱月</v>
      </c>
      <c r="C1310" s="2" t="str">
        <f>"男"</f>
        <v>男</v>
      </c>
      <c r="D1310" s="2" t="str">
        <f>"1987-10-02"</f>
        <v>1987-10-02</v>
      </c>
    </row>
    <row r="1311" spans="1:4" ht="15.75" customHeight="1" x14ac:dyDescent="0.2">
      <c r="A1311" s="2" t="s">
        <v>42</v>
      </c>
      <c r="B1311" s="2" t="str">
        <f>"贺珊珊"</f>
        <v>贺珊珊</v>
      </c>
      <c r="C1311" s="2" t="str">
        <f>"女"</f>
        <v>女</v>
      </c>
      <c r="D1311" s="2" t="str">
        <f>"1989-08-12"</f>
        <v>1989-08-12</v>
      </c>
    </row>
    <row r="1312" spans="1:4" ht="15.75" customHeight="1" x14ac:dyDescent="0.2">
      <c r="A1312" s="2" t="s">
        <v>22</v>
      </c>
      <c r="B1312" s="2" t="str">
        <f>"邹芸"</f>
        <v>邹芸</v>
      </c>
      <c r="C1312" s="2" t="str">
        <f>"女"</f>
        <v>女</v>
      </c>
      <c r="D1312" s="2" t="str">
        <f>"1998-08-16"</f>
        <v>1998-08-16</v>
      </c>
    </row>
    <row r="1313" spans="1:4" ht="15.75" customHeight="1" x14ac:dyDescent="0.2">
      <c r="A1313" s="2" t="s">
        <v>64</v>
      </c>
      <c r="B1313" s="2" t="str">
        <f>"徐宇挺"</f>
        <v>徐宇挺</v>
      </c>
      <c r="C1313" s="2" t="str">
        <f>"男"</f>
        <v>男</v>
      </c>
      <c r="D1313" s="2" t="str">
        <f>"1995-11-14"</f>
        <v>1995-11-14</v>
      </c>
    </row>
    <row r="1314" spans="1:4" ht="15.75" customHeight="1" x14ac:dyDescent="0.2">
      <c r="A1314" s="2" t="s">
        <v>56</v>
      </c>
      <c r="B1314" s="2" t="str">
        <f>"宋笑笑"</f>
        <v>宋笑笑</v>
      </c>
      <c r="C1314" s="2" t="str">
        <f t="shared" ref="C1314:C1319" si="18">"女"</f>
        <v>女</v>
      </c>
      <c r="D1314" s="2" t="str">
        <f>"1995-08-26"</f>
        <v>1995-08-26</v>
      </c>
    </row>
    <row r="1315" spans="1:4" ht="15.75" customHeight="1" x14ac:dyDescent="0.2">
      <c r="A1315" s="2" t="s">
        <v>36</v>
      </c>
      <c r="B1315" s="2" t="str">
        <f>"彭秋萍"</f>
        <v>彭秋萍</v>
      </c>
      <c r="C1315" s="2" t="str">
        <f t="shared" si="18"/>
        <v>女</v>
      </c>
      <c r="D1315" s="2" t="str">
        <f>"1996-09-23"</f>
        <v>1996-09-23</v>
      </c>
    </row>
    <row r="1316" spans="1:4" ht="15.75" customHeight="1" x14ac:dyDescent="0.2">
      <c r="A1316" s="2" t="s">
        <v>63</v>
      </c>
      <c r="B1316" s="2" t="str">
        <f>"刘欢"</f>
        <v>刘欢</v>
      </c>
      <c r="C1316" s="2" t="str">
        <f t="shared" si="18"/>
        <v>女</v>
      </c>
      <c r="D1316" s="2" t="str">
        <f>"1990-03-07"</f>
        <v>1990-03-07</v>
      </c>
    </row>
    <row r="1317" spans="1:4" ht="15.75" customHeight="1" x14ac:dyDescent="0.2">
      <c r="A1317" s="2" t="s">
        <v>17</v>
      </c>
      <c r="B1317" s="2" t="str">
        <f>"刘泥丽"</f>
        <v>刘泥丽</v>
      </c>
      <c r="C1317" s="2" t="str">
        <f t="shared" si="18"/>
        <v>女</v>
      </c>
      <c r="D1317" s="2" t="str">
        <f>"1990-10-26"</f>
        <v>1990-10-26</v>
      </c>
    </row>
    <row r="1318" spans="1:4" ht="15.75" customHeight="1" x14ac:dyDescent="0.2">
      <c r="A1318" s="2" t="s">
        <v>24</v>
      </c>
      <c r="B1318" s="2" t="str">
        <f>"张傲然"</f>
        <v>张傲然</v>
      </c>
      <c r="C1318" s="2" t="str">
        <f t="shared" si="18"/>
        <v>女</v>
      </c>
      <c r="D1318" s="2" t="str">
        <f>"1995-11-15"</f>
        <v>1995-11-15</v>
      </c>
    </row>
    <row r="1319" spans="1:4" ht="15.75" customHeight="1" x14ac:dyDescent="0.2">
      <c r="A1319" s="2" t="s">
        <v>8</v>
      </c>
      <c r="B1319" s="2" t="str">
        <f>"丁君娇"</f>
        <v>丁君娇</v>
      </c>
      <c r="C1319" s="2" t="str">
        <f t="shared" si="18"/>
        <v>女</v>
      </c>
      <c r="D1319" s="2" t="str">
        <f>"1989-12-18"</f>
        <v>1989-12-18</v>
      </c>
    </row>
    <row r="1320" spans="1:4" ht="15.75" customHeight="1" x14ac:dyDescent="0.2">
      <c r="A1320" s="2" t="s">
        <v>36</v>
      </c>
      <c r="B1320" s="2" t="str">
        <f>"朱朗平"</f>
        <v>朱朗平</v>
      </c>
      <c r="C1320" s="2" t="str">
        <f>"男"</f>
        <v>男</v>
      </c>
      <c r="D1320" s="2" t="str">
        <f>"1998-10-09"</f>
        <v>1998-10-09</v>
      </c>
    </row>
    <row r="1321" spans="1:4" ht="15.75" customHeight="1" x14ac:dyDescent="0.2">
      <c r="A1321" s="2" t="s">
        <v>8</v>
      </c>
      <c r="B1321" s="2" t="str">
        <f>"刘思琦"</f>
        <v>刘思琦</v>
      </c>
      <c r="C1321" s="2" t="str">
        <f>"女"</f>
        <v>女</v>
      </c>
      <c r="D1321" s="2" t="str">
        <f>"1996-01-30"</f>
        <v>1996-01-30</v>
      </c>
    </row>
    <row r="1322" spans="1:4" ht="15.75" customHeight="1" x14ac:dyDescent="0.2">
      <c r="A1322" s="2" t="s">
        <v>26</v>
      </c>
      <c r="B1322" s="2" t="str">
        <f>"张健敏"</f>
        <v>张健敏</v>
      </c>
      <c r="C1322" s="2" t="str">
        <f>"女"</f>
        <v>女</v>
      </c>
      <c r="D1322" s="2" t="str">
        <f>"1999-05-24"</f>
        <v>1999-05-24</v>
      </c>
    </row>
    <row r="1323" spans="1:4" ht="15.75" customHeight="1" x14ac:dyDescent="0.2">
      <c r="A1323" s="2" t="s">
        <v>31</v>
      </c>
      <c r="B1323" s="2" t="str">
        <f>"李菲雁"</f>
        <v>李菲雁</v>
      </c>
      <c r="C1323" s="2" t="str">
        <f>"女"</f>
        <v>女</v>
      </c>
      <c r="D1323" s="2" t="str">
        <f>"1997-09-25"</f>
        <v>1997-09-25</v>
      </c>
    </row>
    <row r="1324" spans="1:4" ht="15.75" customHeight="1" x14ac:dyDescent="0.2">
      <c r="A1324" s="2" t="s">
        <v>9</v>
      </c>
      <c r="B1324" s="2" t="str">
        <f>"粟璐"</f>
        <v>粟璐</v>
      </c>
      <c r="C1324" s="2" t="str">
        <f>"男"</f>
        <v>男</v>
      </c>
      <c r="D1324" s="2" t="str">
        <f>"1989-11-23"</f>
        <v>1989-11-23</v>
      </c>
    </row>
    <row r="1325" spans="1:4" ht="15.75" customHeight="1" x14ac:dyDescent="0.2">
      <c r="A1325" s="2" t="s">
        <v>40</v>
      </c>
      <c r="B1325" s="2" t="str">
        <f>"张蕾"</f>
        <v>张蕾</v>
      </c>
      <c r="C1325" s="2" t="str">
        <f>"女"</f>
        <v>女</v>
      </c>
      <c r="D1325" s="2" t="str">
        <f>"1998-10-19"</f>
        <v>1998-10-19</v>
      </c>
    </row>
    <row r="1326" spans="1:4" ht="15.75" customHeight="1" x14ac:dyDescent="0.2">
      <c r="A1326" s="2" t="s">
        <v>61</v>
      </c>
      <c r="B1326" s="2" t="str">
        <f>"谭伊世超"</f>
        <v>谭伊世超</v>
      </c>
      <c r="C1326" s="2" t="str">
        <f>"男"</f>
        <v>男</v>
      </c>
      <c r="D1326" s="2" t="str">
        <f>"1997-10-04"</f>
        <v>1997-10-04</v>
      </c>
    </row>
    <row r="1327" spans="1:4" ht="15.75" customHeight="1" x14ac:dyDescent="0.2">
      <c r="A1327" s="2" t="s">
        <v>13</v>
      </c>
      <c r="B1327" s="2" t="str">
        <f>"龚程"</f>
        <v>龚程</v>
      </c>
      <c r="C1327" s="2" t="str">
        <f>"男"</f>
        <v>男</v>
      </c>
      <c r="D1327" s="2" t="str">
        <f>"1991-01-28"</f>
        <v>1991-01-28</v>
      </c>
    </row>
    <row r="1328" spans="1:4" ht="15.75" customHeight="1" x14ac:dyDescent="0.2">
      <c r="A1328" s="2" t="s">
        <v>16</v>
      </c>
      <c r="B1328" s="2" t="str">
        <f>"辛悦"</f>
        <v>辛悦</v>
      </c>
      <c r="C1328" s="2" t="str">
        <f>"女"</f>
        <v>女</v>
      </c>
      <c r="D1328" s="2" t="str">
        <f>"1997-06-13"</f>
        <v>1997-06-13</v>
      </c>
    </row>
    <row r="1329" spans="1:4" ht="15.75" customHeight="1" x14ac:dyDescent="0.2">
      <c r="A1329" s="2" t="s">
        <v>31</v>
      </c>
      <c r="B1329" s="2" t="str">
        <f>"安会玲"</f>
        <v>安会玲</v>
      </c>
      <c r="C1329" s="2" t="str">
        <f>"女"</f>
        <v>女</v>
      </c>
      <c r="D1329" s="2" t="str">
        <f>"1995-09-18"</f>
        <v>1995-09-18</v>
      </c>
    </row>
    <row r="1330" spans="1:4" ht="15.75" customHeight="1" x14ac:dyDescent="0.2">
      <c r="A1330" s="2" t="s">
        <v>10</v>
      </c>
      <c r="B1330" s="2" t="str">
        <f>"熊思惠"</f>
        <v>熊思惠</v>
      </c>
      <c r="C1330" s="2" t="str">
        <f>"女"</f>
        <v>女</v>
      </c>
      <c r="D1330" s="2" t="str">
        <f>"1996-01-13"</f>
        <v>1996-01-13</v>
      </c>
    </row>
    <row r="1331" spans="1:4" ht="15.75" customHeight="1" x14ac:dyDescent="0.2">
      <c r="A1331" s="2" t="s">
        <v>31</v>
      </c>
      <c r="B1331" s="2" t="str">
        <f>"张鑫"</f>
        <v>张鑫</v>
      </c>
      <c r="C1331" s="2" t="str">
        <f>"男"</f>
        <v>男</v>
      </c>
      <c r="D1331" s="2" t="str">
        <f>"1996-02-29"</f>
        <v>1996-02-29</v>
      </c>
    </row>
    <row r="1332" spans="1:4" ht="15.75" customHeight="1" x14ac:dyDescent="0.2">
      <c r="A1332" s="2" t="s">
        <v>52</v>
      </c>
      <c r="B1332" s="2" t="str">
        <f>"胡蓉"</f>
        <v>胡蓉</v>
      </c>
      <c r="C1332" s="2" t="str">
        <f>"女"</f>
        <v>女</v>
      </c>
      <c r="D1332" s="2" t="str">
        <f>"1991-06-24"</f>
        <v>1991-06-24</v>
      </c>
    </row>
    <row r="1333" spans="1:4" ht="15.75" customHeight="1" x14ac:dyDescent="0.2">
      <c r="A1333" s="2" t="s">
        <v>50</v>
      </c>
      <c r="B1333" s="2" t="str">
        <f>"彭继淼"</f>
        <v>彭继淼</v>
      </c>
      <c r="C1333" s="2" t="str">
        <f>"男"</f>
        <v>男</v>
      </c>
      <c r="D1333" s="2" t="str">
        <f>"1993-07-05"</f>
        <v>1993-07-05</v>
      </c>
    </row>
    <row r="1334" spans="1:4" ht="15.75" customHeight="1" x14ac:dyDescent="0.2">
      <c r="A1334" s="2" t="s">
        <v>42</v>
      </c>
      <c r="B1334" s="2" t="str">
        <f>"吴吉丽"</f>
        <v>吴吉丽</v>
      </c>
      <c r="C1334" s="2" t="str">
        <f>"女"</f>
        <v>女</v>
      </c>
      <c r="D1334" s="2" t="str">
        <f>"1993-09-15"</f>
        <v>1993-09-15</v>
      </c>
    </row>
    <row r="1335" spans="1:4" ht="15.75" customHeight="1" x14ac:dyDescent="0.2">
      <c r="A1335" s="2" t="s">
        <v>30</v>
      </c>
      <c r="B1335" s="2" t="str">
        <f>"鲁伟文"</f>
        <v>鲁伟文</v>
      </c>
      <c r="C1335" s="2" t="str">
        <f>"男"</f>
        <v>男</v>
      </c>
      <c r="D1335" s="2" t="str">
        <f>"1993-11-05"</f>
        <v>1993-11-05</v>
      </c>
    </row>
    <row r="1336" spans="1:4" ht="15.75" customHeight="1" x14ac:dyDescent="0.2">
      <c r="A1336" s="2" t="s">
        <v>32</v>
      </c>
      <c r="B1336" s="2" t="str">
        <f>"李丽娟"</f>
        <v>李丽娟</v>
      </c>
      <c r="C1336" s="2" t="str">
        <f>"女"</f>
        <v>女</v>
      </c>
      <c r="D1336" s="2" t="str">
        <f>"1995-10-17"</f>
        <v>1995-10-17</v>
      </c>
    </row>
    <row r="1337" spans="1:4" ht="15.75" customHeight="1" x14ac:dyDescent="0.2">
      <c r="A1337" s="2" t="s">
        <v>48</v>
      </c>
      <c r="B1337" s="2" t="str">
        <f>"周健"</f>
        <v>周健</v>
      </c>
      <c r="C1337" s="2" t="str">
        <f>"男"</f>
        <v>男</v>
      </c>
      <c r="D1337" s="2" t="str">
        <f>"1991-04-12"</f>
        <v>1991-04-12</v>
      </c>
    </row>
    <row r="1338" spans="1:4" ht="15.75" customHeight="1" x14ac:dyDescent="0.2">
      <c r="A1338" s="2" t="s">
        <v>12</v>
      </c>
      <c r="B1338" s="2" t="str">
        <f>"马甜"</f>
        <v>马甜</v>
      </c>
      <c r="C1338" s="2" t="str">
        <f>"女"</f>
        <v>女</v>
      </c>
      <c r="D1338" s="2" t="str">
        <f>"1999-01-12"</f>
        <v>1999-01-12</v>
      </c>
    </row>
    <row r="1339" spans="1:4" ht="15.75" customHeight="1" x14ac:dyDescent="0.2">
      <c r="A1339" s="2" t="s">
        <v>14</v>
      </c>
      <c r="B1339" s="2" t="str">
        <f>"张桂芳"</f>
        <v>张桂芳</v>
      </c>
      <c r="C1339" s="2" t="str">
        <f>"女"</f>
        <v>女</v>
      </c>
      <c r="D1339" s="2" t="str">
        <f>"1987-10-18"</f>
        <v>1987-10-18</v>
      </c>
    </row>
    <row r="1340" spans="1:4" ht="15.75" customHeight="1" x14ac:dyDescent="0.2">
      <c r="A1340" s="2" t="s">
        <v>41</v>
      </c>
      <c r="B1340" s="2" t="str">
        <f>"蔡湘云"</f>
        <v>蔡湘云</v>
      </c>
      <c r="C1340" s="2" t="str">
        <f>"男"</f>
        <v>男</v>
      </c>
      <c r="D1340" s="2" t="str">
        <f>"1996-04-15"</f>
        <v>1996-04-15</v>
      </c>
    </row>
    <row r="1341" spans="1:4" ht="15.75" customHeight="1" x14ac:dyDescent="0.2">
      <c r="A1341" s="2" t="s">
        <v>37</v>
      </c>
      <c r="B1341" s="2" t="str">
        <f>"张佳伟"</f>
        <v>张佳伟</v>
      </c>
      <c r="C1341" s="2" t="str">
        <f>"男"</f>
        <v>男</v>
      </c>
      <c r="D1341" s="2" t="str">
        <f>"1994-08-14"</f>
        <v>1994-08-14</v>
      </c>
    </row>
    <row r="1342" spans="1:4" ht="15.75" customHeight="1" x14ac:dyDescent="0.2">
      <c r="A1342" s="2" t="s">
        <v>22</v>
      </c>
      <c r="B1342" s="2" t="str">
        <f>"蔡海波"</f>
        <v>蔡海波</v>
      </c>
      <c r="C1342" s="2" t="str">
        <f>"男"</f>
        <v>男</v>
      </c>
      <c r="D1342" s="2" t="str">
        <f>"1997-11-20"</f>
        <v>1997-11-20</v>
      </c>
    </row>
    <row r="1343" spans="1:4" ht="15.75" customHeight="1" x14ac:dyDescent="0.2">
      <c r="A1343" s="2" t="s">
        <v>22</v>
      </c>
      <c r="B1343" s="2" t="str">
        <f>"杨燕"</f>
        <v>杨燕</v>
      </c>
      <c r="C1343" s="2" t="str">
        <f>"女"</f>
        <v>女</v>
      </c>
      <c r="D1343" s="2" t="str">
        <f>"1994-01-26"</f>
        <v>1994-01-26</v>
      </c>
    </row>
    <row r="1344" spans="1:4" ht="15.75" customHeight="1" x14ac:dyDescent="0.2">
      <c r="A1344" s="2" t="s">
        <v>37</v>
      </c>
      <c r="B1344" s="2" t="str">
        <f>"杨雷"</f>
        <v>杨雷</v>
      </c>
      <c r="C1344" s="2" t="str">
        <f>"男"</f>
        <v>男</v>
      </c>
      <c r="D1344" s="2" t="str">
        <f>"1993-03-22"</f>
        <v>1993-03-22</v>
      </c>
    </row>
    <row r="1345" spans="1:4" ht="15.75" customHeight="1" x14ac:dyDescent="0.2">
      <c r="A1345" s="2" t="s">
        <v>8</v>
      </c>
      <c r="B1345" s="2" t="str">
        <f>"周超粤"</f>
        <v>周超粤</v>
      </c>
      <c r="C1345" s="2" t="str">
        <f>"男"</f>
        <v>男</v>
      </c>
      <c r="D1345" s="2" t="str">
        <f>"1998-10-23"</f>
        <v>1998-10-23</v>
      </c>
    </row>
    <row r="1346" spans="1:4" ht="15.75" customHeight="1" x14ac:dyDescent="0.2">
      <c r="A1346" s="2" t="s">
        <v>27</v>
      </c>
      <c r="B1346" s="2" t="str">
        <f>"熊蕾"</f>
        <v>熊蕾</v>
      </c>
      <c r="C1346" s="2" t="str">
        <f>"女"</f>
        <v>女</v>
      </c>
      <c r="D1346" s="2" t="str">
        <f>"1997-11-15"</f>
        <v>1997-11-15</v>
      </c>
    </row>
    <row r="1347" spans="1:4" ht="15.75" customHeight="1" x14ac:dyDescent="0.2">
      <c r="A1347" s="2" t="s">
        <v>14</v>
      </c>
      <c r="B1347" s="2" t="str">
        <f>"朱杨"</f>
        <v>朱杨</v>
      </c>
      <c r="C1347" s="2" t="str">
        <f>"女"</f>
        <v>女</v>
      </c>
      <c r="D1347" s="2" t="str">
        <f>"1995-02-10"</f>
        <v>1995-02-10</v>
      </c>
    </row>
    <row r="1348" spans="1:4" ht="15.75" customHeight="1" x14ac:dyDescent="0.2">
      <c r="A1348" s="2" t="s">
        <v>36</v>
      </c>
      <c r="B1348" s="2" t="str">
        <f>"苏一"</f>
        <v>苏一</v>
      </c>
      <c r="C1348" s="2" t="str">
        <f>"女"</f>
        <v>女</v>
      </c>
      <c r="D1348" s="2" t="str">
        <f>"1992-01-11"</f>
        <v>1992-01-11</v>
      </c>
    </row>
    <row r="1349" spans="1:4" ht="15.75" customHeight="1" x14ac:dyDescent="0.2">
      <c r="A1349" s="2" t="s">
        <v>30</v>
      </c>
      <c r="B1349" s="2" t="str">
        <f>"徐伟"</f>
        <v>徐伟</v>
      </c>
      <c r="C1349" s="2" t="str">
        <f>"男"</f>
        <v>男</v>
      </c>
      <c r="D1349" s="2" t="str">
        <f>"1988-12-23"</f>
        <v>1988-12-23</v>
      </c>
    </row>
    <row r="1350" spans="1:4" ht="15.75" customHeight="1" x14ac:dyDescent="0.2">
      <c r="A1350" s="2" t="s">
        <v>65</v>
      </c>
      <c r="B1350" s="2" t="str">
        <f>"黄娟"</f>
        <v>黄娟</v>
      </c>
      <c r="C1350" s="2" t="str">
        <f>"女"</f>
        <v>女</v>
      </c>
      <c r="D1350" s="2" t="str">
        <f>"1988-03-03"</f>
        <v>1988-03-03</v>
      </c>
    </row>
    <row r="1351" spans="1:4" ht="15.75" customHeight="1" x14ac:dyDescent="0.2">
      <c r="A1351" s="2" t="s">
        <v>10</v>
      </c>
      <c r="B1351" s="2" t="str">
        <f>"孙丽娟"</f>
        <v>孙丽娟</v>
      </c>
      <c r="C1351" s="2" t="str">
        <f>"女"</f>
        <v>女</v>
      </c>
      <c r="D1351" s="2" t="str">
        <f>"1997-03-22"</f>
        <v>1997-03-22</v>
      </c>
    </row>
    <row r="1352" spans="1:4" ht="15.75" customHeight="1" x14ac:dyDescent="0.2">
      <c r="A1352" s="2" t="s">
        <v>36</v>
      </c>
      <c r="B1352" s="2" t="str">
        <f>"谭曌"</f>
        <v>谭曌</v>
      </c>
      <c r="C1352" s="2" t="str">
        <f>"女"</f>
        <v>女</v>
      </c>
      <c r="D1352" s="2" t="str">
        <f>"1998-09-28"</f>
        <v>1998-09-28</v>
      </c>
    </row>
    <row r="1353" spans="1:4" ht="15.75" customHeight="1" x14ac:dyDescent="0.2">
      <c r="A1353" s="2" t="s">
        <v>8</v>
      </c>
      <c r="B1353" s="2" t="str">
        <f>"姜丹丹"</f>
        <v>姜丹丹</v>
      </c>
      <c r="C1353" s="2" t="str">
        <f>"女"</f>
        <v>女</v>
      </c>
      <c r="D1353" s="2" t="str">
        <f>"1988-07-03"</f>
        <v>1988-07-03</v>
      </c>
    </row>
    <row r="1354" spans="1:4" ht="15.75" customHeight="1" x14ac:dyDescent="0.2">
      <c r="A1354" s="2" t="s">
        <v>8</v>
      </c>
      <c r="B1354" s="2" t="str">
        <f>"王子成"</f>
        <v>王子成</v>
      </c>
      <c r="C1354" s="2" t="str">
        <f>"男"</f>
        <v>男</v>
      </c>
      <c r="D1354" s="2" t="str">
        <f>"1992-12-25"</f>
        <v>1992-12-25</v>
      </c>
    </row>
    <row r="1355" spans="1:4" ht="15.75" customHeight="1" x14ac:dyDescent="0.2">
      <c r="A1355" s="2" t="s">
        <v>14</v>
      </c>
      <c r="B1355" s="2" t="str">
        <f>"袁酽"</f>
        <v>袁酽</v>
      </c>
      <c r="C1355" s="2" t="str">
        <f>"女"</f>
        <v>女</v>
      </c>
      <c r="D1355" s="2" t="str">
        <f>"1999-04-13"</f>
        <v>1999-04-13</v>
      </c>
    </row>
    <row r="1356" spans="1:4" ht="15.75" customHeight="1" x14ac:dyDescent="0.2">
      <c r="A1356" s="2" t="s">
        <v>22</v>
      </c>
      <c r="B1356" s="2" t="str">
        <f>"李洪平"</f>
        <v>李洪平</v>
      </c>
      <c r="C1356" s="2" t="str">
        <f>"男"</f>
        <v>男</v>
      </c>
      <c r="D1356" s="2" t="str">
        <f>"1992-03-16"</f>
        <v>1992-03-16</v>
      </c>
    </row>
    <row r="1357" spans="1:4" ht="15.75" customHeight="1" x14ac:dyDescent="0.2">
      <c r="A1357" s="2" t="s">
        <v>31</v>
      </c>
      <c r="B1357" s="2" t="str">
        <f>"刘雄"</f>
        <v>刘雄</v>
      </c>
      <c r="C1357" s="2" t="str">
        <f>"男"</f>
        <v>男</v>
      </c>
      <c r="D1357" s="2" t="str">
        <f>"1992-10-26"</f>
        <v>1992-10-26</v>
      </c>
    </row>
    <row r="1358" spans="1:4" ht="15.75" customHeight="1" x14ac:dyDescent="0.2">
      <c r="A1358" s="2" t="s">
        <v>60</v>
      </c>
      <c r="B1358" s="2" t="str">
        <f>"龚海云"</f>
        <v>龚海云</v>
      </c>
      <c r="C1358" s="2" t="str">
        <f>"女"</f>
        <v>女</v>
      </c>
      <c r="D1358" s="2" t="str">
        <f>"1994-02-03"</f>
        <v>1994-02-03</v>
      </c>
    </row>
    <row r="1359" spans="1:4" ht="15.75" customHeight="1" x14ac:dyDescent="0.2">
      <c r="A1359" s="2" t="s">
        <v>14</v>
      </c>
      <c r="B1359" s="2" t="str">
        <f>"陈家贵"</f>
        <v>陈家贵</v>
      </c>
      <c r="C1359" s="2" t="str">
        <f>"男"</f>
        <v>男</v>
      </c>
      <c r="D1359" s="2" t="str">
        <f>"1993-08-14"</f>
        <v>1993-08-14</v>
      </c>
    </row>
    <row r="1360" spans="1:4" ht="15.75" customHeight="1" x14ac:dyDescent="0.2">
      <c r="A1360" s="2" t="s">
        <v>13</v>
      </c>
      <c r="B1360" s="2" t="str">
        <f>"黄梅"</f>
        <v>黄梅</v>
      </c>
      <c r="C1360" s="2" t="str">
        <f>"女"</f>
        <v>女</v>
      </c>
      <c r="D1360" s="2" t="str">
        <f>"1989-08-25"</f>
        <v>1989-08-25</v>
      </c>
    </row>
    <row r="1361" spans="1:4" ht="15.75" customHeight="1" x14ac:dyDescent="0.2">
      <c r="A1361" s="2" t="s">
        <v>60</v>
      </c>
      <c r="B1361" s="2" t="str">
        <f>"田田"</f>
        <v>田田</v>
      </c>
      <c r="C1361" s="2" t="str">
        <f>"女"</f>
        <v>女</v>
      </c>
      <c r="D1361" s="2" t="str">
        <f>"1994-05-02"</f>
        <v>1994-05-02</v>
      </c>
    </row>
    <row r="1362" spans="1:4" ht="15.75" customHeight="1" x14ac:dyDescent="0.2">
      <c r="A1362" s="2" t="s">
        <v>8</v>
      </c>
      <c r="B1362" s="2" t="str">
        <f>"陈俊颖"</f>
        <v>陈俊颖</v>
      </c>
      <c r="C1362" s="2" t="str">
        <f>"女"</f>
        <v>女</v>
      </c>
      <c r="D1362" s="2" t="str">
        <f>"1996-12-14"</f>
        <v>1996-12-14</v>
      </c>
    </row>
    <row r="1363" spans="1:4" ht="15.75" customHeight="1" x14ac:dyDescent="0.2">
      <c r="A1363" s="2" t="s">
        <v>20</v>
      </c>
      <c r="B1363" s="2" t="str">
        <f>"李翊君"</f>
        <v>李翊君</v>
      </c>
      <c r="C1363" s="2" t="str">
        <f>"女"</f>
        <v>女</v>
      </c>
      <c r="D1363" s="2" t="str">
        <f>"1997-12-11"</f>
        <v>1997-12-11</v>
      </c>
    </row>
    <row r="1364" spans="1:4" ht="15.75" customHeight="1" x14ac:dyDescent="0.2">
      <c r="A1364" s="2" t="s">
        <v>40</v>
      </c>
      <c r="B1364" s="2" t="str">
        <f>"刘相江"</f>
        <v>刘相江</v>
      </c>
      <c r="C1364" s="2" t="str">
        <f>"男"</f>
        <v>男</v>
      </c>
      <c r="D1364" s="2" t="str">
        <f>"1998-05-25"</f>
        <v>1998-05-25</v>
      </c>
    </row>
    <row r="1365" spans="1:4" ht="15.75" customHeight="1" x14ac:dyDescent="0.2">
      <c r="A1365" s="2" t="s">
        <v>9</v>
      </c>
      <c r="B1365" s="2" t="str">
        <f>"王文明"</f>
        <v>王文明</v>
      </c>
      <c r="C1365" s="2" t="str">
        <f>"男"</f>
        <v>男</v>
      </c>
      <c r="D1365" s="2" t="str">
        <f>"1999-01-24"</f>
        <v>1999-01-24</v>
      </c>
    </row>
    <row r="1366" spans="1:4" ht="15.75" customHeight="1" x14ac:dyDescent="0.2">
      <c r="A1366" s="2" t="s">
        <v>34</v>
      </c>
      <c r="B1366" s="2" t="str">
        <f>"涂先好"</f>
        <v>涂先好</v>
      </c>
      <c r="C1366" s="2" t="str">
        <f>"男"</f>
        <v>男</v>
      </c>
      <c r="D1366" s="2" t="str">
        <f>"1996-09-10"</f>
        <v>1996-09-10</v>
      </c>
    </row>
    <row r="1367" spans="1:4" ht="15.75" customHeight="1" x14ac:dyDescent="0.2">
      <c r="A1367" s="2" t="s">
        <v>31</v>
      </c>
      <c r="B1367" s="2" t="str">
        <f>"田杰"</f>
        <v>田杰</v>
      </c>
      <c r="C1367" s="2" t="str">
        <f>"女"</f>
        <v>女</v>
      </c>
      <c r="D1367" s="2" t="str">
        <f>"1994-12-25"</f>
        <v>1994-12-25</v>
      </c>
    </row>
    <row r="1368" spans="1:4" ht="15.75" customHeight="1" x14ac:dyDescent="0.2">
      <c r="A1368" s="2" t="s">
        <v>10</v>
      </c>
      <c r="B1368" s="2" t="str">
        <f>"刘炎衡"</f>
        <v>刘炎衡</v>
      </c>
      <c r="C1368" s="2" t="str">
        <f>"女"</f>
        <v>女</v>
      </c>
      <c r="D1368" s="2" t="str">
        <f>"1997-11-12"</f>
        <v>1997-11-12</v>
      </c>
    </row>
    <row r="1369" spans="1:4" ht="15.75" customHeight="1" x14ac:dyDescent="0.2">
      <c r="A1369" s="2" t="s">
        <v>10</v>
      </c>
      <c r="B1369" s="2" t="str">
        <f>"何欣燕"</f>
        <v>何欣燕</v>
      </c>
      <c r="C1369" s="2" t="str">
        <f>"女"</f>
        <v>女</v>
      </c>
      <c r="D1369" s="2" t="str">
        <f>"1999-10-18"</f>
        <v>1999-10-18</v>
      </c>
    </row>
    <row r="1370" spans="1:4" ht="15.75" customHeight="1" x14ac:dyDescent="0.2">
      <c r="A1370" s="2" t="s">
        <v>28</v>
      </c>
      <c r="B1370" s="2" t="str">
        <f>"邓然"</f>
        <v>邓然</v>
      </c>
      <c r="C1370" s="2" t="str">
        <f>"女"</f>
        <v>女</v>
      </c>
      <c r="D1370" s="2" t="str">
        <f>"1992-05-15"</f>
        <v>1992-05-15</v>
      </c>
    </row>
    <row r="1371" spans="1:4" ht="15.75" customHeight="1" x14ac:dyDescent="0.2">
      <c r="A1371" s="2" t="s">
        <v>8</v>
      </c>
      <c r="B1371" s="2" t="str">
        <f>"王嘉乐"</f>
        <v>王嘉乐</v>
      </c>
      <c r="C1371" s="2" t="str">
        <f>"男"</f>
        <v>男</v>
      </c>
      <c r="D1371" s="2" t="str">
        <f>"1994-08-06"</f>
        <v>1994-08-06</v>
      </c>
    </row>
    <row r="1372" spans="1:4" ht="15.75" customHeight="1" x14ac:dyDescent="0.2">
      <c r="A1372" s="2" t="s">
        <v>8</v>
      </c>
      <c r="B1372" s="2" t="str">
        <f>"王栖"</f>
        <v>王栖</v>
      </c>
      <c r="C1372" s="2" t="str">
        <f>"女"</f>
        <v>女</v>
      </c>
      <c r="D1372" s="2" t="str">
        <f>"1994-01-07"</f>
        <v>1994-01-07</v>
      </c>
    </row>
    <row r="1373" spans="1:4" ht="15.75" customHeight="1" x14ac:dyDescent="0.2">
      <c r="A1373" s="2" t="s">
        <v>55</v>
      </c>
      <c r="B1373" s="2" t="str">
        <f>"向仕邦"</f>
        <v>向仕邦</v>
      </c>
      <c r="C1373" s="2" t="str">
        <f>"男"</f>
        <v>男</v>
      </c>
      <c r="D1373" s="2" t="str">
        <f>"1998-08-21"</f>
        <v>1998-08-21</v>
      </c>
    </row>
    <row r="1374" spans="1:4" ht="15.75" customHeight="1" x14ac:dyDescent="0.2">
      <c r="A1374" s="2" t="s">
        <v>30</v>
      </c>
      <c r="B1374" s="2" t="str">
        <f>"关美"</f>
        <v>关美</v>
      </c>
      <c r="C1374" s="2" t="str">
        <f>"女"</f>
        <v>女</v>
      </c>
      <c r="D1374" s="2" t="str">
        <f>"1994-05-22"</f>
        <v>1994-05-22</v>
      </c>
    </row>
    <row r="1375" spans="1:4" ht="15.75" customHeight="1" x14ac:dyDescent="0.2">
      <c r="A1375" s="2" t="s">
        <v>55</v>
      </c>
      <c r="B1375" s="2" t="str">
        <f>"朱梦雅"</f>
        <v>朱梦雅</v>
      </c>
      <c r="C1375" s="2" t="str">
        <f>"女"</f>
        <v>女</v>
      </c>
      <c r="D1375" s="2" t="str">
        <f>"1993-07-11"</f>
        <v>1993-07-11</v>
      </c>
    </row>
    <row r="1376" spans="1:4" ht="15.75" customHeight="1" x14ac:dyDescent="0.2">
      <c r="A1376" s="2" t="s">
        <v>58</v>
      </c>
      <c r="B1376" s="2" t="str">
        <f>"赵萌"</f>
        <v>赵萌</v>
      </c>
      <c r="C1376" s="2" t="str">
        <f>"女"</f>
        <v>女</v>
      </c>
      <c r="D1376" s="2" t="str">
        <f>"1997-04-14"</f>
        <v>1997-04-14</v>
      </c>
    </row>
    <row r="1377" spans="1:4" ht="15.75" customHeight="1" x14ac:dyDescent="0.2">
      <c r="A1377" s="2" t="s">
        <v>17</v>
      </c>
      <c r="B1377" s="2" t="str">
        <f>"吴东芹"</f>
        <v>吴东芹</v>
      </c>
      <c r="C1377" s="2" t="str">
        <f>"女"</f>
        <v>女</v>
      </c>
      <c r="D1377" s="2" t="str">
        <f>"1990-09-06"</f>
        <v>1990-09-06</v>
      </c>
    </row>
    <row r="1378" spans="1:4" ht="15.75" customHeight="1" x14ac:dyDescent="0.2">
      <c r="A1378" s="2" t="s">
        <v>20</v>
      </c>
      <c r="B1378" s="2" t="str">
        <f>"黎风帆"</f>
        <v>黎风帆</v>
      </c>
      <c r="C1378" s="2" t="str">
        <f>"女"</f>
        <v>女</v>
      </c>
      <c r="D1378" s="2" t="str">
        <f>"1997-10-03"</f>
        <v>1997-10-03</v>
      </c>
    </row>
    <row r="1379" spans="1:4" ht="15.75" customHeight="1" x14ac:dyDescent="0.2">
      <c r="A1379" s="2" t="s">
        <v>19</v>
      </c>
      <c r="B1379" s="2" t="str">
        <f>"任鹏"</f>
        <v>任鹏</v>
      </c>
      <c r="C1379" s="2" t="str">
        <f>"男"</f>
        <v>男</v>
      </c>
      <c r="D1379" s="2" t="str">
        <f>"1993-05-10"</f>
        <v>1993-05-10</v>
      </c>
    </row>
    <row r="1380" spans="1:4" ht="15.75" customHeight="1" x14ac:dyDescent="0.2">
      <c r="A1380" s="2" t="s">
        <v>58</v>
      </c>
      <c r="B1380" s="2" t="str">
        <f>"康冰倩"</f>
        <v>康冰倩</v>
      </c>
      <c r="C1380" s="2" t="str">
        <f>"女"</f>
        <v>女</v>
      </c>
      <c r="D1380" s="2" t="str">
        <f>"1999-02-14"</f>
        <v>1999-02-14</v>
      </c>
    </row>
    <row r="1381" spans="1:4" ht="15.75" customHeight="1" x14ac:dyDescent="0.2">
      <c r="A1381" s="2" t="s">
        <v>43</v>
      </c>
      <c r="B1381" s="2" t="str">
        <f>"陈妍"</f>
        <v>陈妍</v>
      </c>
      <c r="C1381" s="2" t="str">
        <f>"女"</f>
        <v>女</v>
      </c>
      <c r="D1381" s="2" t="str">
        <f>"1999-09-11"</f>
        <v>1999-09-11</v>
      </c>
    </row>
    <row r="1382" spans="1:4" ht="15.75" customHeight="1" x14ac:dyDescent="0.2">
      <c r="A1382" s="2" t="s">
        <v>8</v>
      </c>
      <c r="B1382" s="2" t="str">
        <f>"张江"</f>
        <v>张江</v>
      </c>
      <c r="C1382" s="2" t="str">
        <f>"男"</f>
        <v>男</v>
      </c>
      <c r="D1382" s="2" t="str">
        <f>"1995-11-05"</f>
        <v>1995-11-05</v>
      </c>
    </row>
    <row r="1383" spans="1:4" ht="15.75" customHeight="1" x14ac:dyDescent="0.2">
      <c r="A1383" s="2" t="s">
        <v>24</v>
      </c>
      <c r="B1383" s="2" t="str">
        <f>"聂文安"</f>
        <v>聂文安</v>
      </c>
      <c r="C1383" s="2" t="str">
        <f t="shared" ref="C1383:C1391" si="19">"女"</f>
        <v>女</v>
      </c>
      <c r="D1383" s="2" t="str">
        <f>"1996-12-14"</f>
        <v>1996-12-14</v>
      </c>
    </row>
    <row r="1384" spans="1:4" ht="15.75" customHeight="1" x14ac:dyDescent="0.2">
      <c r="A1384" s="2" t="s">
        <v>15</v>
      </c>
      <c r="B1384" s="2" t="str">
        <f>"傅惠"</f>
        <v>傅惠</v>
      </c>
      <c r="C1384" s="2" t="str">
        <f t="shared" si="19"/>
        <v>女</v>
      </c>
      <c r="D1384" s="2" t="str">
        <f>"1993-12-07"</f>
        <v>1993-12-07</v>
      </c>
    </row>
    <row r="1385" spans="1:4" ht="15.75" customHeight="1" x14ac:dyDescent="0.2">
      <c r="A1385" s="2" t="s">
        <v>32</v>
      </c>
      <c r="B1385" s="2" t="str">
        <f>"张晟"</f>
        <v>张晟</v>
      </c>
      <c r="C1385" s="2" t="str">
        <f t="shared" si="19"/>
        <v>女</v>
      </c>
      <c r="D1385" s="2" t="str">
        <f>"1999-11-08"</f>
        <v>1999-11-08</v>
      </c>
    </row>
    <row r="1386" spans="1:4" ht="15.75" customHeight="1" x14ac:dyDescent="0.2">
      <c r="A1386" s="2" t="s">
        <v>55</v>
      </c>
      <c r="B1386" s="2" t="str">
        <f>"周小乔"</f>
        <v>周小乔</v>
      </c>
      <c r="C1386" s="2" t="str">
        <f t="shared" si="19"/>
        <v>女</v>
      </c>
      <c r="D1386" s="2" t="str">
        <f>"1999-11-28"</f>
        <v>1999-11-28</v>
      </c>
    </row>
    <row r="1387" spans="1:4" ht="15.75" customHeight="1" x14ac:dyDescent="0.2">
      <c r="A1387" s="2" t="s">
        <v>73</v>
      </c>
      <c r="B1387" s="2" t="str">
        <f>"雷光月"</f>
        <v>雷光月</v>
      </c>
      <c r="C1387" s="2" t="str">
        <f t="shared" si="19"/>
        <v>女</v>
      </c>
      <c r="D1387" s="2" t="str">
        <f>"1996-09-09"</f>
        <v>1996-09-09</v>
      </c>
    </row>
    <row r="1388" spans="1:4" ht="15.75" customHeight="1" x14ac:dyDescent="0.2">
      <c r="A1388" s="2" t="s">
        <v>20</v>
      </c>
      <c r="B1388" s="2" t="str">
        <f>"王紫嫣"</f>
        <v>王紫嫣</v>
      </c>
      <c r="C1388" s="2" t="str">
        <f t="shared" si="19"/>
        <v>女</v>
      </c>
      <c r="D1388" s="2" t="str">
        <f>"1998-06-27"</f>
        <v>1998-06-27</v>
      </c>
    </row>
    <row r="1389" spans="1:4" ht="15.75" customHeight="1" x14ac:dyDescent="0.2">
      <c r="A1389" s="2" t="s">
        <v>58</v>
      </c>
      <c r="B1389" s="2" t="str">
        <f>"刘慧琪"</f>
        <v>刘慧琪</v>
      </c>
      <c r="C1389" s="2" t="str">
        <f t="shared" si="19"/>
        <v>女</v>
      </c>
      <c r="D1389" s="2" t="str">
        <f>"1999-06-15"</f>
        <v>1999-06-15</v>
      </c>
    </row>
    <row r="1390" spans="1:4" ht="15.75" customHeight="1" x14ac:dyDescent="0.2">
      <c r="A1390" s="2" t="s">
        <v>39</v>
      </c>
      <c r="B1390" s="2" t="str">
        <f>"严麦丹"</f>
        <v>严麦丹</v>
      </c>
      <c r="C1390" s="2" t="str">
        <f t="shared" si="19"/>
        <v>女</v>
      </c>
      <c r="D1390" s="2" t="str">
        <f>"1990-02-08"</f>
        <v>1990-02-08</v>
      </c>
    </row>
    <row r="1391" spans="1:4" ht="15.75" customHeight="1" x14ac:dyDescent="0.2">
      <c r="A1391" s="2" t="s">
        <v>36</v>
      </c>
      <c r="B1391" s="2" t="str">
        <f>"李玉键"</f>
        <v>李玉键</v>
      </c>
      <c r="C1391" s="2" t="str">
        <f t="shared" si="19"/>
        <v>女</v>
      </c>
      <c r="D1391" s="2" t="str">
        <f>"1995-02-26"</f>
        <v>1995-02-26</v>
      </c>
    </row>
    <row r="1392" spans="1:4" ht="15.75" customHeight="1" x14ac:dyDescent="0.2">
      <c r="A1392" s="2" t="s">
        <v>36</v>
      </c>
      <c r="B1392" s="2" t="str">
        <f>"洪涛"</f>
        <v>洪涛</v>
      </c>
      <c r="C1392" s="2" t="str">
        <f>"男"</f>
        <v>男</v>
      </c>
      <c r="D1392" s="2" t="str">
        <f>"1993-04-15"</f>
        <v>1993-04-15</v>
      </c>
    </row>
    <row r="1393" spans="1:4" ht="15.75" customHeight="1" x14ac:dyDescent="0.2">
      <c r="A1393" s="2" t="s">
        <v>41</v>
      </c>
      <c r="B1393" s="2" t="str">
        <f>"张志成"</f>
        <v>张志成</v>
      </c>
      <c r="C1393" s="2" t="str">
        <f>"男"</f>
        <v>男</v>
      </c>
      <c r="D1393" s="2" t="str">
        <f>"1999-01-23"</f>
        <v>1999-01-23</v>
      </c>
    </row>
    <row r="1394" spans="1:4" ht="15.75" customHeight="1" x14ac:dyDescent="0.2">
      <c r="A1394" s="2" t="s">
        <v>24</v>
      </c>
      <c r="B1394" s="2" t="str">
        <f>"李妮"</f>
        <v>李妮</v>
      </c>
      <c r="C1394" s="2" t="str">
        <f>"女"</f>
        <v>女</v>
      </c>
      <c r="D1394" s="2" t="str">
        <f>"1997-08-02"</f>
        <v>1997-08-02</v>
      </c>
    </row>
    <row r="1395" spans="1:4" ht="15.75" customHeight="1" x14ac:dyDescent="0.2">
      <c r="A1395" s="2" t="s">
        <v>42</v>
      </c>
      <c r="B1395" s="2" t="str">
        <f>"孙伟"</f>
        <v>孙伟</v>
      </c>
      <c r="C1395" s="2" t="str">
        <f t="shared" ref="C1395:C1401" si="20">"男"</f>
        <v>男</v>
      </c>
      <c r="D1395" s="2" t="str">
        <f>"1990-04-24"</f>
        <v>1990-04-24</v>
      </c>
    </row>
    <row r="1396" spans="1:4" ht="15.75" customHeight="1" x14ac:dyDescent="0.2">
      <c r="A1396" s="2" t="s">
        <v>41</v>
      </c>
      <c r="B1396" s="2" t="str">
        <f>"谭赋林"</f>
        <v>谭赋林</v>
      </c>
      <c r="C1396" s="2" t="str">
        <f t="shared" si="20"/>
        <v>男</v>
      </c>
      <c r="D1396" s="2" t="str">
        <f>"1997-12-13"</f>
        <v>1997-12-13</v>
      </c>
    </row>
    <row r="1397" spans="1:4" ht="15.75" customHeight="1" x14ac:dyDescent="0.2">
      <c r="A1397" s="2" t="s">
        <v>60</v>
      </c>
      <c r="B1397" s="2" t="str">
        <f>"杨飞"</f>
        <v>杨飞</v>
      </c>
      <c r="C1397" s="2" t="str">
        <f t="shared" si="20"/>
        <v>男</v>
      </c>
      <c r="D1397" s="2" t="str">
        <f>"1993-11-18"</f>
        <v>1993-11-18</v>
      </c>
    </row>
    <row r="1398" spans="1:4" ht="15.75" customHeight="1" x14ac:dyDescent="0.2">
      <c r="A1398" s="2" t="s">
        <v>23</v>
      </c>
      <c r="B1398" s="2" t="str">
        <f>"陈志辉"</f>
        <v>陈志辉</v>
      </c>
      <c r="C1398" s="2" t="str">
        <f t="shared" si="20"/>
        <v>男</v>
      </c>
      <c r="D1398" s="2" t="str">
        <f>"1991-08-20"</f>
        <v>1991-08-20</v>
      </c>
    </row>
    <row r="1399" spans="1:4" ht="15.75" customHeight="1" x14ac:dyDescent="0.2">
      <c r="A1399" s="2" t="s">
        <v>28</v>
      </c>
      <c r="B1399" s="2" t="str">
        <f>"张雷"</f>
        <v>张雷</v>
      </c>
      <c r="C1399" s="2" t="str">
        <f t="shared" si="20"/>
        <v>男</v>
      </c>
      <c r="D1399" s="2" t="str">
        <f>"1998-07-05"</f>
        <v>1998-07-05</v>
      </c>
    </row>
    <row r="1400" spans="1:4" ht="15.75" customHeight="1" x14ac:dyDescent="0.2">
      <c r="A1400" s="2" t="s">
        <v>24</v>
      </c>
      <c r="B1400" s="2" t="str">
        <f>"何飞鹏"</f>
        <v>何飞鹏</v>
      </c>
      <c r="C1400" s="2" t="str">
        <f t="shared" si="20"/>
        <v>男</v>
      </c>
      <c r="D1400" s="2" t="str">
        <f>"1994-04-06"</f>
        <v>1994-04-06</v>
      </c>
    </row>
    <row r="1401" spans="1:4" ht="15.75" customHeight="1" x14ac:dyDescent="0.2">
      <c r="A1401" s="2" t="s">
        <v>47</v>
      </c>
      <c r="B1401" s="2" t="str">
        <f>"王进"</f>
        <v>王进</v>
      </c>
      <c r="C1401" s="2" t="str">
        <f t="shared" si="20"/>
        <v>男</v>
      </c>
      <c r="D1401" s="2" t="str">
        <f>"1999-07-27"</f>
        <v>1999-07-27</v>
      </c>
    </row>
    <row r="1402" spans="1:4" ht="15.75" customHeight="1" x14ac:dyDescent="0.2">
      <c r="A1402" s="2" t="s">
        <v>33</v>
      </c>
      <c r="B1402" s="2" t="str">
        <f>"聂梓羽"</f>
        <v>聂梓羽</v>
      </c>
      <c r="C1402" s="2" t="str">
        <f>"女"</f>
        <v>女</v>
      </c>
      <c r="D1402" s="2" t="str">
        <f>"1994-11-14"</f>
        <v>1994-11-14</v>
      </c>
    </row>
    <row r="1403" spans="1:4" ht="15.75" customHeight="1" x14ac:dyDescent="0.2">
      <c r="A1403" s="2" t="s">
        <v>8</v>
      </c>
      <c r="B1403" s="2" t="str">
        <f>"熊晶"</f>
        <v>熊晶</v>
      </c>
      <c r="C1403" s="2" t="str">
        <f>"女"</f>
        <v>女</v>
      </c>
      <c r="D1403" s="2" t="str">
        <f>"1995-01-29"</f>
        <v>1995-01-29</v>
      </c>
    </row>
    <row r="1404" spans="1:4" ht="15.75" customHeight="1" x14ac:dyDescent="0.2">
      <c r="A1404" s="2" t="s">
        <v>34</v>
      </c>
      <c r="B1404" s="2" t="str">
        <f>"龚经纬"</f>
        <v>龚经纬</v>
      </c>
      <c r="C1404" s="2" t="str">
        <f>"男"</f>
        <v>男</v>
      </c>
      <c r="D1404" s="2" t="str">
        <f>"1999-05-26"</f>
        <v>1999-05-26</v>
      </c>
    </row>
    <row r="1405" spans="1:4" ht="15.75" customHeight="1" x14ac:dyDescent="0.2">
      <c r="A1405" s="2" t="s">
        <v>27</v>
      </c>
      <c r="B1405" s="2" t="str">
        <f>"宋思贝"</f>
        <v>宋思贝</v>
      </c>
      <c r="C1405" s="2" t="str">
        <f t="shared" ref="C1405:C1411" si="21">"女"</f>
        <v>女</v>
      </c>
      <c r="D1405" s="2" t="str">
        <f>"2000-01-25"</f>
        <v>2000-01-25</v>
      </c>
    </row>
    <row r="1406" spans="1:4" ht="15.75" customHeight="1" x14ac:dyDescent="0.2">
      <c r="A1406" s="2" t="s">
        <v>36</v>
      </c>
      <c r="B1406" s="2" t="str">
        <f>"盛杨"</f>
        <v>盛杨</v>
      </c>
      <c r="C1406" s="2" t="str">
        <f t="shared" si="21"/>
        <v>女</v>
      </c>
      <c r="D1406" s="2" t="str">
        <f>"1998-03-22"</f>
        <v>1998-03-22</v>
      </c>
    </row>
    <row r="1407" spans="1:4" ht="15.75" customHeight="1" x14ac:dyDescent="0.2">
      <c r="A1407" s="2" t="s">
        <v>66</v>
      </c>
      <c r="B1407" s="2" t="str">
        <f>"何纳敏"</f>
        <v>何纳敏</v>
      </c>
      <c r="C1407" s="2" t="str">
        <f t="shared" si="21"/>
        <v>女</v>
      </c>
      <c r="D1407" s="2" t="str">
        <f>"1996-02-06"</f>
        <v>1996-02-06</v>
      </c>
    </row>
    <row r="1408" spans="1:4" ht="15.75" customHeight="1" x14ac:dyDescent="0.2">
      <c r="A1408" s="2" t="s">
        <v>22</v>
      </c>
      <c r="B1408" s="2" t="str">
        <f>"刘唯"</f>
        <v>刘唯</v>
      </c>
      <c r="C1408" s="2" t="str">
        <f t="shared" si="21"/>
        <v>女</v>
      </c>
      <c r="D1408" s="2" t="str">
        <f>"1998-06-30"</f>
        <v>1998-06-30</v>
      </c>
    </row>
    <row r="1409" spans="1:4" ht="15.75" customHeight="1" x14ac:dyDescent="0.2">
      <c r="A1409" s="2" t="s">
        <v>55</v>
      </c>
      <c r="B1409" s="2" t="str">
        <f>"李美奇"</f>
        <v>李美奇</v>
      </c>
      <c r="C1409" s="2" t="str">
        <f t="shared" si="21"/>
        <v>女</v>
      </c>
      <c r="D1409" s="2" t="str">
        <f>"1996-09-28"</f>
        <v>1996-09-28</v>
      </c>
    </row>
    <row r="1410" spans="1:4" ht="15.75" customHeight="1" x14ac:dyDescent="0.2">
      <c r="A1410" s="2" t="s">
        <v>24</v>
      </c>
      <c r="B1410" s="2" t="str">
        <f>"徐称称"</f>
        <v>徐称称</v>
      </c>
      <c r="C1410" s="2" t="str">
        <f t="shared" si="21"/>
        <v>女</v>
      </c>
      <c r="D1410" s="2" t="str">
        <f>"1997-03-21"</f>
        <v>1997-03-21</v>
      </c>
    </row>
    <row r="1411" spans="1:4" ht="15.75" customHeight="1" x14ac:dyDescent="0.2">
      <c r="A1411" s="2" t="s">
        <v>23</v>
      </c>
      <c r="B1411" s="2" t="str">
        <f>"庹雅俐"</f>
        <v>庹雅俐</v>
      </c>
      <c r="C1411" s="2" t="str">
        <f t="shared" si="21"/>
        <v>女</v>
      </c>
      <c r="D1411" s="2" t="str">
        <f>"1997-09-13"</f>
        <v>1997-09-13</v>
      </c>
    </row>
    <row r="1412" spans="1:4" ht="15.75" customHeight="1" x14ac:dyDescent="0.2">
      <c r="A1412" s="2" t="s">
        <v>8</v>
      </c>
      <c r="B1412" s="2" t="str">
        <f>"齐泽彬"</f>
        <v>齐泽彬</v>
      </c>
      <c r="C1412" s="2" t="str">
        <f>"男"</f>
        <v>男</v>
      </c>
      <c r="D1412" s="2" t="str">
        <f>"1990-11-03"</f>
        <v>1990-11-03</v>
      </c>
    </row>
    <row r="1413" spans="1:4" ht="15.75" customHeight="1" x14ac:dyDescent="0.2">
      <c r="A1413" s="2" t="s">
        <v>44</v>
      </c>
      <c r="B1413" s="2" t="str">
        <f>"吴林芳"</f>
        <v>吴林芳</v>
      </c>
      <c r="C1413" s="2" t="str">
        <f>"女"</f>
        <v>女</v>
      </c>
      <c r="D1413" s="2" t="str">
        <f>"1995-08-27"</f>
        <v>1995-08-27</v>
      </c>
    </row>
    <row r="1414" spans="1:4" ht="15.75" customHeight="1" x14ac:dyDescent="0.2">
      <c r="A1414" s="2" t="s">
        <v>34</v>
      </c>
      <c r="B1414" s="2" t="str">
        <f>"周军"</f>
        <v>周军</v>
      </c>
      <c r="C1414" s="2" t="str">
        <f>"男"</f>
        <v>男</v>
      </c>
      <c r="D1414" s="2" t="str">
        <f>"1995-09-23"</f>
        <v>1995-09-23</v>
      </c>
    </row>
    <row r="1415" spans="1:4" ht="15.75" customHeight="1" x14ac:dyDescent="0.2">
      <c r="A1415" s="2" t="s">
        <v>55</v>
      </c>
      <c r="B1415" s="2" t="str">
        <f>"唐曼"</f>
        <v>唐曼</v>
      </c>
      <c r="C1415" s="2" t="str">
        <f>"女"</f>
        <v>女</v>
      </c>
      <c r="D1415" s="2" t="str">
        <f>"1996-12-01"</f>
        <v>1996-12-01</v>
      </c>
    </row>
    <row r="1416" spans="1:4" ht="15.75" customHeight="1" x14ac:dyDescent="0.2">
      <c r="A1416" s="2" t="s">
        <v>32</v>
      </c>
      <c r="B1416" s="2" t="str">
        <f>"刘达"</f>
        <v>刘达</v>
      </c>
      <c r="C1416" s="2" t="str">
        <f>"男"</f>
        <v>男</v>
      </c>
      <c r="D1416" s="2" t="str">
        <f>"1997-04-20"</f>
        <v>1997-04-20</v>
      </c>
    </row>
    <row r="1417" spans="1:4" ht="15.75" customHeight="1" x14ac:dyDescent="0.2">
      <c r="A1417" s="2" t="s">
        <v>19</v>
      </c>
      <c r="B1417" s="2" t="str">
        <f>"张建新"</f>
        <v>张建新</v>
      </c>
      <c r="C1417" s="2" t="str">
        <f>"男"</f>
        <v>男</v>
      </c>
      <c r="D1417" s="2" t="str">
        <f>"1994-12-19"</f>
        <v>1994-12-19</v>
      </c>
    </row>
    <row r="1418" spans="1:4" ht="15.75" customHeight="1" x14ac:dyDescent="0.2">
      <c r="A1418" s="2" t="s">
        <v>36</v>
      </c>
      <c r="B1418" s="2" t="str">
        <f>"杨彪"</f>
        <v>杨彪</v>
      </c>
      <c r="C1418" s="2" t="str">
        <f>"男"</f>
        <v>男</v>
      </c>
      <c r="D1418" s="2" t="str">
        <f>"1997-04-06"</f>
        <v>1997-04-06</v>
      </c>
    </row>
    <row r="1419" spans="1:4" ht="15.75" customHeight="1" x14ac:dyDescent="0.2">
      <c r="A1419" s="2" t="s">
        <v>57</v>
      </c>
      <c r="B1419" s="2" t="str">
        <f>"李惠颖"</f>
        <v>李惠颖</v>
      </c>
      <c r="C1419" s="2" t="str">
        <f>"女"</f>
        <v>女</v>
      </c>
      <c r="D1419" s="2" t="str">
        <f>"1991-06-24"</f>
        <v>1991-06-24</v>
      </c>
    </row>
    <row r="1420" spans="1:4" ht="15.75" customHeight="1" x14ac:dyDescent="0.2">
      <c r="A1420" s="2" t="s">
        <v>9</v>
      </c>
      <c r="B1420" s="2" t="str">
        <f>"罗志超"</f>
        <v>罗志超</v>
      </c>
      <c r="C1420" s="2" t="str">
        <f>"男"</f>
        <v>男</v>
      </c>
      <c r="D1420" s="2" t="str">
        <f>"1995-03-16"</f>
        <v>1995-03-16</v>
      </c>
    </row>
    <row r="1421" spans="1:4" ht="15.75" customHeight="1" x14ac:dyDescent="0.2">
      <c r="A1421" s="2" t="s">
        <v>70</v>
      </c>
      <c r="B1421" s="2" t="str">
        <f>"张有缘"</f>
        <v>张有缘</v>
      </c>
      <c r="C1421" s="2" t="str">
        <f>"男"</f>
        <v>男</v>
      </c>
      <c r="D1421" s="2" t="str">
        <f>"1990-05-12"</f>
        <v>1990-05-12</v>
      </c>
    </row>
    <row r="1422" spans="1:4" ht="15.75" customHeight="1" x14ac:dyDescent="0.2">
      <c r="A1422" s="2" t="s">
        <v>4</v>
      </c>
      <c r="B1422" s="2" t="str">
        <f>"佘王俊杰"</f>
        <v>佘王俊杰</v>
      </c>
      <c r="C1422" s="2" t="str">
        <f>"男"</f>
        <v>男</v>
      </c>
      <c r="D1422" s="2" t="str">
        <f>"1994-02-02"</f>
        <v>1994-02-02</v>
      </c>
    </row>
    <row r="1423" spans="1:4" ht="15.75" customHeight="1" x14ac:dyDescent="0.2">
      <c r="A1423" s="2" t="s">
        <v>24</v>
      </c>
      <c r="B1423" s="2" t="str">
        <f>"杨斯宇"</f>
        <v>杨斯宇</v>
      </c>
      <c r="C1423" s="2" t="str">
        <f>"女"</f>
        <v>女</v>
      </c>
      <c r="D1423" s="2" t="str">
        <f>"1996-05-23"</f>
        <v>1996-05-23</v>
      </c>
    </row>
    <row r="1424" spans="1:4" ht="15.75" customHeight="1" x14ac:dyDescent="0.2">
      <c r="A1424" s="2" t="s">
        <v>26</v>
      </c>
      <c r="B1424" s="2" t="str">
        <f>"尹文章"</f>
        <v>尹文章</v>
      </c>
      <c r="C1424" s="2" t="str">
        <f>"男"</f>
        <v>男</v>
      </c>
      <c r="D1424" s="2" t="str">
        <f>"1996-04-10"</f>
        <v>1996-04-10</v>
      </c>
    </row>
    <row r="1425" spans="1:4" ht="15.75" customHeight="1" x14ac:dyDescent="0.2">
      <c r="A1425" s="2" t="s">
        <v>13</v>
      </c>
      <c r="B1425" s="2" t="str">
        <f>"吴琴琴"</f>
        <v>吴琴琴</v>
      </c>
      <c r="C1425" s="2" t="str">
        <f>"女"</f>
        <v>女</v>
      </c>
      <c r="D1425" s="2" t="str">
        <f>"1990-12-18"</f>
        <v>1990-12-18</v>
      </c>
    </row>
    <row r="1426" spans="1:4" ht="15.75" customHeight="1" x14ac:dyDescent="0.2">
      <c r="A1426" s="2" t="s">
        <v>14</v>
      </c>
      <c r="B1426" s="2" t="str">
        <f>"胥星"</f>
        <v>胥星</v>
      </c>
      <c r="C1426" s="2" t="str">
        <f>"男"</f>
        <v>男</v>
      </c>
      <c r="D1426" s="2" t="str">
        <f>"1990-11-23"</f>
        <v>1990-11-23</v>
      </c>
    </row>
    <row r="1427" spans="1:4" ht="15.75" customHeight="1" x14ac:dyDescent="0.2">
      <c r="A1427" s="2" t="s">
        <v>4</v>
      </c>
      <c r="B1427" s="2" t="str">
        <f>"杨伟"</f>
        <v>杨伟</v>
      </c>
      <c r="C1427" s="2" t="str">
        <f>"男"</f>
        <v>男</v>
      </c>
      <c r="D1427" s="2" t="str">
        <f>"1991-10-10"</f>
        <v>1991-10-10</v>
      </c>
    </row>
    <row r="1428" spans="1:4" ht="15.75" customHeight="1" x14ac:dyDescent="0.2">
      <c r="A1428" s="2" t="s">
        <v>31</v>
      </c>
      <c r="B1428" s="2" t="str">
        <f>"葛静优"</f>
        <v>葛静优</v>
      </c>
      <c r="C1428" s="2" t="str">
        <f>"男"</f>
        <v>男</v>
      </c>
      <c r="D1428" s="2" t="str">
        <f>"1989-05-20"</f>
        <v>1989-05-20</v>
      </c>
    </row>
    <row r="1429" spans="1:4" ht="15.75" customHeight="1" x14ac:dyDescent="0.2">
      <c r="A1429" s="2" t="s">
        <v>8</v>
      </c>
      <c r="B1429" s="2" t="str">
        <f>"韩晴"</f>
        <v>韩晴</v>
      </c>
      <c r="C1429" s="2" t="str">
        <f t="shared" ref="C1429:C1434" si="22">"女"</f>
        <v>女</v>
      </c>
      <c r="D1429" s="2" t="str">
        <f>"1997-01-21"</f>
        <v>1997-01-21</v>
      </c>
    </row>
    <row r="1430" spans="1:4" ht="15.75" customHeight="1" x14ac:dyDescent="0.2">
      <c r="A1430" s="2" t="s">
        <v>40</v>
      </c>
      <c r="B1430" s="2" t="str">
        <f>"张韫玉"</f>
        <v>张韫玉</v>
      </c>
      <c r="C1430" s="2" t="str">
        <f t="shared" si="22"/>
        <v>女</v>
      </c>
      <c r="D1430" s="2" t="str">
        <f>"1998-09-04"</f>
        <v>1998-09-04</v>
      </c>
    </row>
    <row r="1431" spans="1:4" ht="15.75" customHeight="1" x14ac:dyDescent="0.2">
      <c r="A1431" s="2" t="s">
        <v>55</v>
      </c>
      <c r="B1431" s="2" t="str">
        <f>"娄娟"</f>
        <v>娄娟</v>
      </c>
      <c r="C1431" s="2" t="str">
        <f t="shared" si="22"/>
        <v>女</v>
      </c>
      <c r="D1431" s="2" t="str">
        <f>"1999-05-22"</f>
        <v>1999-05-22</v>
      </c>
    </row>
    <row r="1432" spans="1:4" ht="15.75" customHeight="1" x14ac:dyDescent="0.2">
      <c r="A1432" s="2" t="s">
        <v>18</v>
      </c>
      <c r="B1432" s="2" t="str">
        <f>"彭子芮"</f>
        <v>彭子芮</v>
      </c>
      <c r="C1432" s="2" t="str">
        <f t="shared" si="22"/>
        <v>女</v>
      </c>
      <c r="D1432" s="2" t="str">
        <f>"1994-09-30"</f>
        <v>1994-09-30</v>
      </c>
    </row>
    <row r="1433" spans="1:4" ht="15.75" customHeight="1" x14ac:dyDescent="0.2">
      <c r="A1433" s="2" t="s">
        <v>20</v>
      </c>
      <c r="B1433" s="2" t="str">
        <f>"黄梦颖"</f>
        <v>黄梦颖</v>
      </c>
      <c r="C1433" s="2" t="str">
        <f t="shared" si="22"/>
        <v>女</v>
      </c>
      <c r="D1433" s="2" t="str">
        <f>"1995-10-07"</f>
        <v>1995-10-07</v>
      </c>
    </row>
    <row r="1434" spans="1:4" ht="15.75" customHeight="1" x14ac:dyDescent="0.2">
      <c r="A1434" s="2" t="s">
        <v>56</v>
      </c>
      <c r="B1434" s="2" t="str">
        <f>"吴敏"</f>
        <v>吴敏</v>
      </c>
      <c r="C1434" s="2" t="str">
        <f t="shared" si="22"/>
        <v>女</v>
      </c>
      <c r="D1434" s="2" t="str">
        <f>"1995-05-17"</f>
        <v>1995-05-17</v>
      </c>
    </row>
    <row r="1435" spans="1:4" ht="15.75" customHeight="1" x14ac:dyDescent="0.2">
      <c r="A1435" s="2" t="s">
        <v>49</v>
      </c>
      <c r="B1435" s="2" t="str">
        <f>"吴坷"</f>
        <v>吴坷</v>
      </c>
      <c r="C1435" s="2" t="str">
        <f>"男"</f>
        <v>男</v>
      </c>
      <c r="D1435" s="2" t="str">
        <f>"1996-11-16"</f>
        <v>1996-11-16</v>
      </c>
    </row>
    <row r="1436" spans="1:4" ht="15.75" customHeight="1" x14ac:dyDescent="0.2">
      <c r="A1436" s="2" t="s">
        <v>14</v>
      </c>
      <c r="B1436" s="2" t="str">
        <f>"向琼"</f>
        <v>向琼</v>
      </c>
      <c r="C1436" s="2" t="str">
        <f>"女"</f>
        <v>女</v>
      </c>
      <c r="D1436" s="2" t="str">
        <f>"1989-02-25"</f>
        <v>1989-02-25</v>
      </c>
    </row>
    <row r="1437" spans="1:4" ht="15.75" customHeight="1" x14ac:dyDescent="0.2">
      <c r="A1437" s="2" t="s">
        <v>24</v>
      </c>
      <c r="B1437" s="2" t="str">
        <f>"郑城城"</f>
        <v>郑城城</v>
      </c>
      <c r="C1437" s="2" t="str">
        <f>"女"</f>
        <v>女</v>
      </c>
      <c r="D1437" s="2" t="str">
        <f>"1989-05-05"</f>
        <v>1989-05-05</v>
      </c>
    </row>
    <row r="1438" spans="1:4" ht="15.75" customHeight="1" x14ac:dyDescent="0.2">
      <c r="A1438" s="2" t="s">
        <v>5</v>
      </c>
      <c r="B1438" s="2" t="str">
        <f>"张启铭"</f>
        <v>张启铭</v>
      </c>
      <c r="C1438" s="2" t="str">
        <f>"男"</f>
        <v>男</v>
      </c>
      <c r="D1438" s="2" t="str">
        <f>"1995-06-20"</f>
        <v>1995-06-20</v>
      </c>
    </row>
    <row r="1439" spans="1:4" ht="15.75" customHeight="1" x14ac:dyDescent="0.2">
      <c r="A1439" s="2" t="s">
        <v>34</v>
      </c>
      <c r="B1439" s="2" t="str">
        <f>"张家豪"</f>
        <v>张家豪</v>
      </c>
      <c r="C1439" s="2" t="str">
        <f>"男"</f>
        <v>男</v>
      </c>
      <c r="D1439" s="2" t="str">
        <f>"1994-10-02"</f>
        <v>1994-10-02</v>
      </c>
    </row>
    <row r="1440" spans="1:4" ht="15.75" customHeight="1" x14ac:dyDescent="0.2">
      <c r="A1440" s="2" t="s">
        <v>29</v>
      </c>
      <c r="B1440" s="2" t="str">
        <f>"廖希智"</f>
        <v>廖希智</v>
      </c>
      <c r="C1440" s="2" t="str">
        <f>"女"</f>
        <v>女</v>
      </c>
      <c r="D1440" s="2" t="str">
        <f>"1996-07-29"</f>
        <v>1996-07-29</v>
      </c>
    </row>
    <row r="1441" spans="1:4" ht="15.75" customHeight="1" x14ac:dyDescent="0.2">
      <c r="A1441" s="2" t="s">
        <v>41</v>
      </c>
      <c r="B1441" s="2" t="str">
        <f>"梅娜"</f>
        <v>梅娜</v>
      </c>
      <c r="C1441" s="2" t="str">
        <f>"女"</f>
        <v>女</v>
      </c>
      <c r="D1441" s="2" t="str">
        <f>"1998-01-22"</f>
        <v>1998-01-22</v>
      </c>
    </row>
    <row r="1442" spans="1:4" ht="15.75" customHeight="1" x14ac:dyDescent="0.2">
      <c r="A1442" s="2" t="s">
        <v>14</v>
      </c>
      <c r="B1442" s="2" t="str">
        <f>"谭炎荣"</f>
        <v>谭炎荣</v>
      </c>
      <c r="C1442" s="2" t="str">
        <f>"女"</f>
        <v>女</v>
      </c>
      <c r="D1442" s="2" t="str">
        <f>"1999-07-30"</f>
        <v>1999-07-30</v>
      </c>
    </row>
    <row r="1443" spans="1:4" ht="15.75" customHeight="1" x14ac:dyDescent="0.2">
      <c r="A1443" s="2" t="s">
        <v>12</v>
      </c>
      <c r="B1443" s="2" t="str">
        <f>"张涵"</f>
        <v>张涵</v>
      </c>
      <c r="C1443" s="2" t="str">
        <f>"女"</f>
        <v>女</v>
      </c>
      <c r="D1443" s="2" t="str">
        <f>"1999-11-27"</f>
        <v>1999-11-27</v>
      </c>
    </row>
    <row r="1444" spans="1:4" ht="15.75" customHeight="1" x14ac:dyDescent="0.2">
      <c r="A1444" s="2" t="s">
        <v>15</v>
      </c>
      <c r="B1444" s="2" t="str">
        <f>"黄小勇"</f>
        <v>黄小勇</v>
      </c>
      <c r="C1444" s="2" t="str">
        <f>"男"</f>
        <v>男</v>
      </c>
      <c r="D1444" s="2" t="str">
        <f>"1990-07-03"</f>
        <v>1990-07-03</v>
      </c>
    </row>
    <row r="1445" spans="1:4" ht="15.75" customHeight="1" x14ac:dyDescent="0.2">
      <c r="A1445" s="2" t="s">
        <v>61</v>
      </c>
      <c r="B1445" s="2" t="str">
        <f>"皮紫薇"</f>
        <v>皮紫薇</v>
      </c>
      <c r="C1445" s="2" t="str">
        <f>"女"</f>
        <v>女</v>
      </c>
      <c r="D1445" s="2" t="str">
        <f>"1996-06-12"</f>
        <v>1996-06-12</v>
      </c>
    </row>
    <row r="1446" spans="1:4" ht="15.75" customHeight="1" x14ac:dyDescent="0.2">
      <c r="A1446" s="2" t="s">
        <v>5</v>
      </c>
      <c r="B1446" s="2" t="str">
        <f>"丁麟淳"</f>
        <v>丁麟淳</v>
      </c>
      <c r="C1446" s="2" t="str">
        <f>"女"</f>
        <v>女</v>
      </c>
      <c r="D1446" s="2" t="str">
        <f>"1995-05-22"</f>
        <v>1995-05-22</v>
      </c>
    </row>
    <row r="1447" spans="1:4" ht="15.75" customHeight="1" x14ac:dyDescent="0.2">
      <c r="A1447" s="2" t="s">
        <v>20</v>
      </c>
      <c r="B1447" s="2" t="str">
        <f>"田程"</f>
        <v>田程</v>
      </c>
      <c r="C1447" s="2" t="str">
        <f>"女"</f>
        <v>女</v>
      </c>
      <c r="D1447" s="2" t="str">
        <f>"1997-11-13"</f>
        <v>1997-11-13</v>
      </c>
    </row>
    <row r="1448" spans="1:4" ht="15.75" customHeight="1" x14ac:dyDescent="0.2">
      <c r="A1448" s="2" t="s">
        <v>47</v>
      </c>
      <c r="B1448" s="2" t="str">
        <f>"罗敏华"</f>
        <v>罗敏华</v>
      </c>
      <c r="C1448" s="2" t="str">
        <f>"女"</f>
        <v>女</v>
      </c>
      <c r="D1448" s="2" t="str">
        <f>"1999-06-30"</f>
        <v>1999-06-30</v>
      </c>
    </row>
    <row r="1449" spans="1:4" ht="15.75" customHeight="1" x14ac:dyDescent="0.2">
      <c r="A1449" s="2" t="s">
        <v>13</v>
      </c>
      <c r="B1449" s="2" t="str">
        <f>"阳慧敏"</f>
        <v>阳慧敏</v>
      </c>
      <c r="C1449" s="2" t="str">
        <f>"女"</f>
        <v>女</v>
      </c>
      <c r="D1449" s="2" t="str">
        <f>"1994-06-19"</f>
        <v>1994-06-19</v>
      </c>
    </row>
    <row r="1450" spans="1:4" ht="15.75" customHeight="1" x14ac:dyDescent="0.2">
      <c r="A1450" s="2" t="s">
        <v>14</v>
      </c>
      <c r="B1450" s="2" t="str">
        <f>"蒋建华"</f>
        <v>蒋建华</v>
      </c>
      <c r="C1450" s="2" t="str">
        <f>"男"</f>
        <v>男</v>
      </c>
      <c r="D1450" s="2" t="str">
        <f>"1997-12-01"</f>
        <v>1997-12-01</v>
      </c>
    </row>
    <row r="1451" spans="1:4" ht="15.75" customHeight="1" x14ac:dyDescent="0.2">
      <c r="A1451" s="2" t="s">
        <v>41</v>
      </c>
      <c r="B1451" s="2" t="str">
        <f>"周晓敏"</f>
        <v>周晓敏</v>
      </c>
      <c r="C1451" s="2" t="str">
        <f>"女"</f>
        <v>女</v>
      </c>
      <c r="D1451" s="2" t="str">
        <f>"1997-08-06"</f>
        <v>1997-08-06</v>
      </c>
    </row>
    <row r="1452" spans="1:4" ht="15.75" customHeight="1" x14ac:dyDescent="0.2">
      <c r="A1452" s="2" t="s">
        <v>24</v>
      </c>
      <c r="B1452" s="2" t="str">
        <f>"郭小萱"</f>
        <v>郭小萱</v>
      </c>
      <c r="C1452" s="2" t="str">
        <f>"男"</f>
        <v>男</v>
      </c>
      <c r="D1452" s="2" t="str">
        <f>"1997-02-16"</f>
        <v>1997-02-16</v>
      </c>
    </row>
    <row r="1453" spans="1:4" ht="15.75" customHeight="1" x14ac:dyDescent="0.2">
      <c r="A1453" s="2" t="s">
        <v>24</v>
      </c>
      <c r="B1453" s="2" t="str">
        <f>"周婷"</f>
        <v>周婷</v>
      </c>
      <c r="C1453" s="2" t="str">
        <f>"女"</f>
        <v>女</v>
      </c>
      <c r="D1453" s="2" t="str">
        <f>"1992-07-14"</f>
        <v>1992-07-14</v>
      </c>
    </row>
    <row r="1454" spans="1:4" ht="15.75" customHeight="1" x14ac:dyDescent="0.2">
      <c r="A1454" s="2" t="s">
        <v>10</v>
      </c>
      <c r="B1454" s="2" t="str">
        <f>"杨斯博"</f>
        <v>杨斯博</v>
      </c>
      <c r="C1454" s="2" t="str">
        <f>"男"</f>
        <v>男</v>
      </c>
      <c r="D1454" s="2" t="str">
        <f>"1998-06-06"</f>
        <v>1998-06-06</v>
      </c>
    </row>
    <row r="1455" spans="1:4" ht="15.75" customHeight="1" x14ac:dyDescent="0.2">
      <c r="A1455" s="2" t="s">
        <v>34</v>
      </c>
      <c r="B1455" s="2" t="str">
        <f>"陈璞"</f>
        <v>陈璞</v>
      </c>
      <c r="C1455" s="2" t="str">
        <f>"女"</f>
        <v>女</v>
      </c>
      <c r="D1455" s="2" t="str">
        <f>"1996-06-14"</f>
        <v>1996-06-14</v>
      </c>
    </row>
    <row r="1456" spans="1:4" ht="15.75" customHeight="1" x14ac:dyDescent="0.2">
      <c r="A1456" s="2" t="s">
        <v>57</v>
      </c>
      <c r="B1456" s="2" t="str">
        <f>"王栋冰"</f>
        <v>王栋冰</v>
      </c>
      <c r="C1456" s="2" t="str">
        <f>"女"</f>
        <v>女</v>
      </c>
      <c r="D1456" s="2" t="str">
        <f>"1997-10-15"</f>
        <v>1997-10-15</v>
      </c>
    </row>
    <row r="1457" spans="1:4" ht="15.75" customHeight="1" x14ac:dyDescent="0.2">
      <c r="A1457" s="2" t="s">
        <v>14</v>
      </c>
      <c r="B1457" s="2" t="str">
        <f>"袁义夫"</f>
        <v>袁义夫</v>
      </c>
      <c r="C1457" s="2" t="str">
        <f>"男"</f>
        <v>男</v>
      </c>
      <c r="D1457" s="2" t="str">
        <f>"1994-11-19"</f>
        <v>1994-11-19</v>
      </c>
    </row>
    <row r="1458" spans="1:4" ht="15.75" customHeight="1" x14ac:dyDescent="0.2">
      <c r="A1458" s="2" t="s">
        <v>57</v>
      </c>
      <c r="B1458" s="2" t="str">
        <f>"李晓佳"</f>
        <v>李晓佳</v>
      </c>
      <c r="C1458" s="2" t="str">
        <f>"女"</f>
        <v>女</v>
      </c>
      <c r="D1458" s="2" t="str">
        <f>"1996-02-15"</f>
        <v>1996-02-15</v>
      </c>
    </row>
    <row r="1459" spans="1:4" ht="15.75" customHeight="1" x14ac:dyDescent="0.2">
      <c r="A1459" s="2" t="s">
        <v>24</v>
      </c>
      <c r="B1459" s="2" t="str">
        <f>"张金萍"</f>
        <v>张金萍</v>
      </c>
      <c r="C1459" s="2" t="str">
        <f>"女"</f>
        <v>女</v>
      </c>
      <c r="D1459" s="2" t="str">
        <f>"1995-09-16"</f>
        <v>1995-09-16</v>
      </c>
    </row>
    <row r="1460" spans="1:4" ht="15.75" customHeight="1" x14ac:dyDescent="0.2">
      <c r="A1460" s="2" t="s">
        <v>63</v>
      </c>
      <c r="B1460" s="2" t="str">
        <f>"陈佳"</f>
        <v>陈佳</v>
      </c>
      <c r="C1460" s="2" t="str">
        <f>"男"</f>
        <v>男</v>
      </c>
      <c r="D1460" s="2" t="str">
        <f>"1992-08-05"</f>
        <v>1992-08-05</v>
      </c>
    </row>
    <row r="1461" spans="1:4" ht="15.75" customHeight="1" x14ac:dyDescent="0.2">
      <c r="A1461" s="2" t="s">
        <v>61</v>
      </c>
      <c r="B1461" s="2" t="str">
        <f>"刘纯"</f>
        <v>刘纯</v>
      </c>
      <c r="C1461" s="2" t="str">
        <f>"女"</f>
        <v>女</v>
      </c>
      <c r="D1461" s="2" t="str">
        <f>"1997-05-08"</f>
        <v>1997-05-08</v>
      </c>
    </row>
    <row r="1462" spans="1:4" ht="15.75" customHeight="1" x14ac:dyDescent="0.2">
      <c r="A1462" s="2" t="s">
        <v>20</v>
      </c>
      <c r="B1462" s="2" t="str">
        <f>"卢静"</f>
        <v>卢静</v>
      </c>
      <c r="C1462" s="2" t="str">
        <f>"女"</f>
        <v>女</v>
      </c>
      <c r="D1462" s="2" t="str">
        <f>"1996-05-04"</f>
        <v>1996-05-04</v>
      </c>
    </row>
    <row r="1463" spans="1:4" ht="15.75" customHeight="1" x14ac:dyDescent="0.2">
      <c r="A1463" s="2" t="s">
        <v>58</v>
      </c>
      <c r="B1463" s="2" t="str">
        <f>"王生颖"</f>
        <v>王生颖</v>
      </c>
      <c r="C1463" s="2" t="str">
        <f>"女"</f>
        <v>女</v>
      </c>
      <c r="D1463" s="2" t="str">
        <f>"1995-08-27"</f>
        <v>1995-08-27</v>
      </c>
    </row>
    <row r="1464" spans="1:4" ht="15.75" customHeight="1" x14ac:dyDescent="0.2">
      <c r="A1464" s="2" t="s">
        <v>41</v>
      </c>
      <c r="B1464" s="2" t="str">
        <f>"张蕾"</f>
        <v>张蕾</v>
      </c>
      <c r="C1464" s="2" t="str">
        <f>"女"</f>
        <v>女</v>
      </c>
      <c r="D1464" s="2" t="str">
        <f>"1997-02-28"</f>
        <v>1997-02-28</v>
      </c>
    </row>
    <row r="1465" spans="1:4" ht="15.75" customHeight="1" x14ac:dyDescent="0.2">
      <c r="A1465" s="2" t="s">
        <v>14</v>
      </c>
      <c r="B1465" s="2" t="str">
        <f>"邓振林"</f>
        <v>邓振林</v>
      </c>
      <c r="C1465" s="2" t="str">
        <f>"男"</f>
        <v>男</v>
      </c>
      <c r="D1465" s="2" t="str">
        <f>"1991-09-23"</f>
        <v>1991-09-23</v>
      </c>
    </row>
    <row r="1466" spans="1:4" ht="15.75" customHeight="1" x14ac:dyDescent="0.2">
      <c r="A1466" s="2" t="s">
        <v>54</v>
      </c>
      <c r="B1466" s="2" t="str">
        <f>"雷俊"</f>
        <v>雷俊</v>
      </c>
      <c r="C1466" s="2" t="str">
        <f>"男"</f>
        <v>男</v>
      </c>
      <c r="D1466" s="2" t="str">
        <f>"1990-06-17"</f>
        <v>1990-06-17</v>
      </c>
    </row>
    <row r="1467" spans="1:4" ht="15.75" customHeight="1" x14ac:dyDescent="0.2">
      <c r="A1467" s="2" t="s">
        <v>46</v>
      </c>
      <c r="B1467" s="2" t="str">
        <f>"李爱波"</f>
        <v>李爱波</v>
      </c>
      <c r="C1467" s="2" t="str">
        <f>"女"</f>
        <v>女</v>
      </c>
      <c r="D1467" s="2" t="str">
        <f>"1993-05-22"</f>
        <v>1993-05-22</v>
      </c>
    </row>
    <row r="1468" spans="1:4" ht="15.75" customHeight="1" x14ac:dyDescent="0.2">
      <c r="A1468" s="2" t="s">
        <v>61</v>
      </c>
      <c r="B1468" s="2" t="str">
        <f>"彭琳嵛"</f>
        <v>彭琳嵛</v>
      </c>
      <c r="C1468" s="2" t="str">
        <f>"女"</f>
        <v>女</v>
      </c>
      <c r="D1468" s="2" t="str">
        <f>"1999-01-05"</f>
        <v>1999-01-05</v>
      </c>
    </row>
    <row r="1469" spans="1:4" ht="15.75" customHeight="1" x14ac:dyDescent="0.2">
      <c r="A1469" s="2" t="s">
        <v>29</v>
      </c>
      <c r="B1469" s="2" t="str">
        <f>"胡薇"</f>
        <v>胡薇</v>
      </c>
      <c r="C1469" s="2" t="str">
        <f>"女"</f>
        <v>女</v>
      </c>
      <c r="D1469" s="2" t="str">
        <f>"1993-08-18"</f>
        <v>1993-08-18</v>
      </c>
    </row>
    <row r="1470" spans="1:4" ht="15.75" customHeight="1" x14ac:dyDescent="0.2">
      <c r="A1470" s="2" t="s">
        <v>36</v>
      </c>
      <c r="B1470" s="2" t="str">
        <f>"李龙"</f>
        <v>李龙</v>
      </c>
      <c r="C1470" s="2" t="str">
        <f t="shared" ref="C1470:C1477" si="23">"男"</f>
        <v>男</v>
      </c>
      <c r="D1470" s="2" t="str">
        <f>"1995-05-08"</f>
        <v>1995-05-08</v>
      </c>
    </row>
    <row r="1471" spans="1:4" ht="15.75" customHeight="1" x14ac:dyDescent="0.2">
      <c r="A1471" s="2" t="s">
        <v>28</v>
      </c>
      <c r="B1471" s="2" t="str">
        <f>"万午阳"</f>
        <v>万午阳</v>
      </c>
      <c r="C1471" s="2" t="str">
        <f t="shared" si="23"/>
        <v>男</v>
      </c>
      <c r="D1471" s="2" t="str">
        <f>"1996-07-27"</f>
        <v>1996-07-27</v>
      </c>
    </row>
    <row r="1472" spans="1:4" ht="15.75" customHeight="1" x14ac:dyDescent="0.2">
      <c r="A1472" s="2" t="s">
        <v>13</v>
      </c>
      <c r="B1472" s="2" t="str">
        <f>"万鑫"</f>
        <v>万鑫</v>
      </c>
      <c r="C1472" s="2" t="str">
        <f t="shared" si="23"/>
        <v>男</v>
      </c>
      <c r="D1472" s="2" t="str">
        <f>"1986-12-27"</f>
        <v>1986-12-27</v>
      </c>
    </row>
    <row r="1473" spans="1:4" ht="15.75" customHeight="1" x14ac:dyDescent="0.2">
      <c r="A1473" s="2" t="s">
        <v>14</v>
      </c>
      <c r="B1473" s="2" t="str">
        <f>"罗一凡"</f>
        <v>罗一凡</v>
      </c>
      <c r="C1473" s="2" t="str">
        <f t="shared" si="23"/>
        <v>男</v>
      </c>
      <c r="D1473" s="2" t="str">
        <f>"1998-10-30"</f>
        <v>1998-10-30</v>
      </c>
    </row>
    <row r="1474" spans="1:4" ht="15.75" customHeight="1" x14ac:dyDescent="0.2">
      <c r="A1474" s="2" t="s">
        <v>36</v>
      </c>
      <c r="B1474" s="2" t="str">
        <f>"李其俊"</f>
        <v>李其俊</v>
      </c>
      <c r="C1474" s="2" t="str">
        <f t="shared" si="23"/>
        <v>男</v>
      </c>
      <c r="D1474" s="2" t="str">
        <f>"1995-09-19"</f>
        <v>1995-09-19</v>
      </c>
    </row>
    <row r="1475" spans="1:4" ht="15.75" customHeight="1" x14ac:dyDescent="0.2">
      <c r="A1475" s="2" t="s">
        <v>55</v>
      </c>
      <c r="B1475" s="2" t="str">
        <f>"朱伦"</f>
        <v>朱伦</v>
      </c>
      <c r="C1475" s="2" t="str">
        <f t="shared" si="23"/>
        <v>男</v>
      </c>
      <c r="D1475" s="2" t="str">
        <f>"1995-02-03"</f>
        <v>1995-02-03</v>
      </c>
    </row>
    <row r="1476" spans="1:4" ht="15.75" customHeight="1" x14ac:dyDescent="0.2">
      <c r="A1476" s="2" t="s">
        <v>8</v>
      </c>
      <c r="B1476" s="2" t="str">
        <f>"康希"</f>
        <v>康希</v>
      </c>
      <c r="C1476" s="2" t="str">
        <f t="shared" si="23"/>
        <v>男</v>
      </c>
      <c r="D1476" s="2" t="str">
        <f>"1996-03-18"</f>
        <v>1996-03-18</v>
      </c>
    </row>
    <row r="1477" spans="1:4" ht="15.75" customHeight="1" x14ac:dyDescent="0.2">
      <c r="A1477" s="2" t="s">
        <v>21</v>
      </c>
      <c r="B1477" s="2" t="str">
        <f>"李轩"</f>
        <v>李轩</v>
      </c>
      <c r="C1477" s="2" t="str">
        <f t="shared" si="23"/>
        <v>男</v>
      </c>
      <c r="D1477" s="2" t="str">
        <f>"1989-10-27"</f>
        <v>1989-10-27</v>
      </c>
    </row>
    <row r="1478" spans="1:4" ht="15.75" customHeight="1" x14ac:dyDescent="0.2">
      <c r="A1478" s="2" t="s">
        <v>56</v>
      </c>
      <c r="B1478" s="2" t="str">
        <f>"刘颖"</f>
        <v>刘颖</v>
      </c>
      <c r="C1478" s="2" t="str">
        <f>"女"</f>
        <v>女</v>
      </c>
      <c r="D1478" s="2" t="str">
        <f>"1999-06-11"</f>
        <v>1999-06-11</v>
      </c>
    </row>
    <row r="1479" spans="1:4" ht="15.75" customHeight="1" x14ac:dyDescent="0.2">
      <c r="A1479" s="2" t="s">
        <v>30</v>
      </c>
      <c r="B1479" s="2" t="str">
        <f>"邱亚奇"</f>
        <v>邱亚奇</v>
      </c>
      <c r="C1479" s="2" t="str">
        <f>"女"</f>
        <v>女</v>
      </c>
      <c r="D1479" s="2" t="str">
        <f>"1989-11-03"</f>
        <v>1989-11-03</v>
      </c>
    </row>
    <row r="1480" spans="1:4" ht="15.75" customHeight="1" x14ac:dyDescent="0.2">
      <c r="A1480" s="2" t="s">
        <v>41</v>
      </c>
      <c r="B1480" s="2" t="str">
        <f>"万稣飞"</f>
        <v>万稣飞</v>
      </c>
      <c r="C1480" s="2" t="str">
        <f>"女"</f>
        <v>女</v>
      </c>
      <c r="D1480" s="2" t="str">
        <f>"1996-12-18"</f>
        <v>1996-12-18</v>
      </c>
    </row>
    <row r="1481" spans="1:4" ht="15.75" customHeight="1" x14ac:dyDescent="0.2">
      <c r="A1481" s="2" t="s">
        <v>36</v>
      </c>
      <c r="B1481" s="2" t="str">
        <f>"叶梦汝"</f>
        <v>叶梦汝</v>
      </c>
      <c r="C1481" s="2" t="str">
        <f>"男"</f>
        <v>男</v>
      </c>
      <c r="D1481" s="2" t="str">
        <f>"1991-01-24"</f>
        <v>1991-01-24</v>
      </c>
    </row>
    <row r="1482" spans="1:4" ht="15.75" customHeight="1" x14ac:dyDescent="0.2">
      <c r="A1482" s="2" t="s">
        <v>14</v>
      </c>
      <c r="B1482" s="2" t="str">
        <f>"周征"</f>
        <v>周征</v>
      </c>
      <c r="C1482" s="2" t="str">
        <f>"女"</f>
        <v>女</v>
      </c>
      <c r="D1482" s="2" t="str">
        <f>"1988-04-15"</f>
        <v>1988-04-15</v>
      </c>
    </row>
    <row r="1483" spans="1:4" ht="15.75" customHeight="1" x14ac:dyDescent="0.2">
      <c r="A1483" s="2" t="s">
        <v>52</v>
      </c>
      <c r="B1483" s="2" t="str">
        <f>"梁原铭"</f>
        <v>梁原铭</v>
      </c>
      <c r="C1483" s="2" t="str">
        <f>"男"</f>
        <v>男</v>
      </c>
      <c r="D1483" s="2" t="str">
        <f>"1988-08-22"</f>
        <v>1988-08-22</v>
      </c>
    </row>
    <row r="1484" spans="1:4" ht="15.75" customHeight="1" x14ac:dyDescent="0.2">
      <c r="A1484" s="2" t="s">
        <v>13</v>
      </c>
      <c r="B1484" s="2" t="str">
        <f>"沈少奇"</f>
        <v>沈少奇</v>
      </c>
      <c r="C1484" s="2" t="str">
        <f>"女"</f>
        <v>女</v>
      </c>
      <c r="D1484" s="2" t="str">
        <f>"2000-09-13"</f>
        <v>2000-09-13</v>
      </c>
    </row>
    <row r="1485" spans="1:4" ht="15.75" customHeight="1" x14ac:dyDescent="0.2">
      <c r="A1485" s="2" t="s">
        <v>31</v>
      </c>
      <c r="B1485" s="2" t="str">
        <f>"容大山"</f>
        <v>容大山</v>
      </c>
      <c r="C1485" s="2" t="str">
        <f>"男"</f>
        <v>男</v>
      </c>
      <c r="D1485" s="2" t="str">
        <f>"1999-07-25"</f>
        <v>1999-07-25</v>
      </c>
    </row>
    <row r="1486" spans="1:4" ht="15.75" customHeight="1" x14ac:dyDescent="0.2">
      <c r="A1486" s="2" t="s">
        <v>42</v>
      </c>
      <c r="B1486" s="2" t="str">
        <f>"陈汝佳"</f>
        <v>陈汝佳</v>
      </c>
      <c r="C1486" s="2" t="str">
        <f>"女"</f>
        <v>女</v>
      </c>
      <c r="D1486" s="2" t="str">
        <f>"1998-01-05"</f>
        <v>1998-01-05</v>
      </c>
    </row>
    <row r="1487" spans="1:4" ht="15.75" customHeight="1" x14ac:dyDescent="0.2">
      <c r="A1487" s="2" t="s">
        <v>57</v>
      </c>
      <c r="B1487" s="2" t="str">
        <f>"胡华"</f>
        <v>胡华</v>
      </c>
      <c r="C1487" s="2" t="str">
        <f>"男"</f>
        <v>男</v>
      </c>
      <c r="D1487" s="2" t="str">
        <f>"1990-07-10"</f>
        <v>1990-07-10</v>
      </c>
    </row>
    <row r="1488" spans="1:4" ht="15.75" customHeight="1" x14ac:dyDescent="0.2">
      <c r="A1488" s="2" t="s">
        <v>17</v>
      </c>
      <c r="B1488" s="2" t="str">
        <f>"林进泽"</f>
        <v>林进泽</v>
      </c>
      <c r="C1488" s="2" t="str">
        <f>"男"</f>
        <v>男</v>
      </c>
      <c r="D1488" s="2" t="str">
        <f>"1994-09-18"</f>
        <v>1994-09-18</v>
      </c>
    </row>
    <row r="1489" spans="1:4" ht="15.75" customHeight="1" x14ac:dyDescent="0.2">
      <c r="A1489" s="2" t="s">
        <v>36</v>
      </c>
      <c r="B1489" s="2" t="str">
        <f>"宗茜雅"</f>
        <v>宗茜雅</v>
      </c>
      <c r="C1489" s="2" t="str">
        <f>"女"</f>
        <v>女</v>
      </c>
      <c r="D1489" s="2" t="str">
        <f>"1997-03-06"</f>
        <v>1997-03-06</v>
      </c>
    </row>
    <row r="1490" spans="1:4" ht="15.75" customHeight="1" x14ac:dyDescent="0.2">
      <c r="A1490" s="2" t="s">
        <v>4</v>
      </c>
      <c r="B1490" s="2" t="str">
        <f>"杨程文"</f>
        <v>杨程文</v>
      </c>
      <c r="C1490" s="2" t="str">
        <f>"男"</f>
        <v>男</v>
      </c>
      <c r="D1490" s="2" t="str">
        <f>"1993-06-18"</f>
        <v>1993-06-18</v>
      </c>
    </row>
    <row r="1491" spans="1:4" ht="15.75" customHeight="1" x14ac:dyDescent="0.2">
      <c r="A1491" s="2" t="s">
        <v>65</v>
      </c>
      <c r="B1491" s="2" t="str">
        <f>"沈纬"</f>
        <v>沈纬</v>
      </c>
      <c r="C1491" s="2" t="str">
        <f>"男"</f>
        <v>男</v>
      </c>
      <c r="D1491" s="2" t="str">
        <f>"1986-10-23"</f>
        <v>1986-10-23</v>
      </c>
    </row>
    <row r="1492" spans="1:4" ht="15.75" customHeight="1" x14ac:dyDescent="0.2">
      <c r="A1492" s="2" t="s">
        <v>31</v>
      </c>
      <c r="B1492" s="2" t="str">
        <f>"王惠子"</f>
        <v>王惠子</v>
      </c>
      <c r="C1492" s="2" t="str">
        <f>"女"</f>
        <v>女</v>
      </c>
      <c r="D1492" s="2" t="str">
        <f>"1992-09-23"</f>
        <v>1992-09-23</v>
      </c>
    </row>
    <row r="1493" spans="1:4" ht="15.75" customHeight="1" x14ac:dyDescent="0.2">
      <c r="A1493" s="2" t="s">
        <v>31</v>
      </c>
      <c r="B1493" s="2" t="str">
        <f>"黄历鸿"</f>
        <v>黄历鸿</v>
      </c>
      <c r="C1493" s="2" t="str">
        <f>"男"</f>
        <v>男</v>
      </c>
      <c r="D1493" s="2" t="str">
        <f>"1997-04-28"</f>
        <v>1997-04-28</v>
      </c>
    </row>
    <row r="1494" spans="1:4" ht="15.75" customHeight="1" x14ac:dyDescent="0.2">
      <c r="A1494" s="2" t="s">
        <v>52</v>
      </c>
      <c r="B1494" s="2" t="str">
        <f>"辛丹"</f>
        <v>辛丹</v>
      </c>
      <c r="C1494" s="2" t="str">
        <f>"女"</f>
        <v>女</v>
      </c>
      <c r="D1494" s="2" t="str">
        <f>"1990-05-18"</f>
        <v>1990-05-18</v>
      </c>
    </row>
    <row r="1495" spans="1:4" ht="15.75" customHeight="1" x14ac:dyDescent="0.2">
      <c r="A1495" s="2" t="s">
        <v>23</v>
      </c>
      <c r="B1495" s="2" t="str">
        <f>"程凡"</f>
        <v>程凡</v>
      </c>
      <c r="C1495" s="2" t="str">
        <f>"女"</f>
        <v>女</v>
      </c>
      <c r="D1495" s="2" t="str">
        <f>"1993-11-17"</f>
        <v>1993-11-17</v>
      </c>
    </row>
    <row r="1496" spans="1:4" ht="15.75" customHeight="1" x14ac:dyDescent="0.2">
      <c r="A1496" s="2" t="s">
        <v>17</v>
      </c>
      <c r="B1496" s="2" t="str">
        <f>"陈智"</f>
        <v>陈智</v>
      </c>
      <c r="C1496" s="2" t="str">
        <f>"男"</f>
        <v>男</v>
      </c>
      <c r="D1496" s="2" t="str">
        <f>"1997-01-31"</f>
        <v>1997-01-31</v>
      </c>
    </row>
    <row r="1497" spans="1:4" ht="15.75" customHeight="1" x14ac:dyDescent="0.2">
      <c r="A1497" s="2" t="s">
        <v>43</v>
      </c>
      <c r="B1497" s="2" t="str">
        <f>"陈功"</f>
        <v>陈功</v>
      </c>
      <c r="C1497" s="2" t="str">
        <f>"男"</f>
        <v>男</v>
      </c>
      <c r="D1497" s="2" t="str">
        <f>"1990-09-19"</f>
        <v>1990-09-19</v>
      </c>
    </row>
    <row r="1498" spans="1:4" ht="15.75" customHeight="1" x14ac:dyDescent="0.2">
      <c r="A1498" s="2" t="s">
        <v>20</v>
      </c>
      <c r="B1498" s="2" t="str">
        <f>"梁永祥"</f>
        <v>梁永祥</v>
      </c>
      <c r="C1498" s="2" t="str">
        <f>"男"</f>
        <v>男</v>
      </c>
      <c r="D1498" s="2" t="str">
        <f>"1997-08-21"</f>
        <v>1997-08-21</v>
      </c>
    </row>
    <row r="1499" spans="1:4" ht="15.75" customHeight="1" x14ac:dyDescent="0.2">
      <c r="A1499" s="2" t="s">
        <v>44</v>
      </c>
      <c r="B1499" s="2" t="str">
        <f>"孙梦圆"</f>
        <v>孙梦圆</v>
      </c>
      <c r="C1499" s="2" t="str">
        <f>"女"</f>
        <v>女</v>
      </c>
      <c r="D1499" s="2" t="str">
        <f>"1997-02-09"</f>
        <v>1997-02-09</v>
      </c>
    </row>
    <row r="1500" spans="1:4" ht="15.75" customHeight="1" x14ac:dyDescent="0.2">
      <c r="A1500" s="2" t="s">
        <v>58</v>
      </c>
      <c r="B1500" s="2" t="str">
        <f>"黄湘云"</f>
        <v>黄湘云</v>
      </c>
      <c r="C1500" s="2" t="str">
        <f>"女"</f>
        <v>女</v>
      </c>
      <c r="D1500" s="2" t="str">
        <f>"1995-01-10"</f>
        <v>1995-01-10</v>
      </c>
    </row>
    <row r="1501" spans="1:4" ht="15.75" customHeight="1" x14ac:dyDescent="0.2">
      <c r="A1501" s="2" t="s">
        <v>35</v>
      </c>
      <c r="B1501" s="2" t="str">
        <f>"郑明祺"</f>
        <v>郑明祺</v>
      </c>
      <c r="C1501" s="2" t="str">
        <f>"男"</f>
        <v>男</v>
      </c>
      <c r="D1501" s="2" t="str">
        <f>"1998-09-21"</f>
        <v>1998-09-21</v>
      </c>
    </row>
    <row r="1502" spans="1:4" ht="15.75" customHeight="1" x14ac:dyDescent="0.2">
      <c r="A1502" s="2" t="s">
        <v>55</v>
      </c>
      <c r="B1502" s="2" t="str">
        <f>"黄玉麒"</f>
        <v>黄玉麒</v>
      </c>
      <c r="C1502" s="2" t="str">
        <f>"男"</f>
        <v>男</v>
      </c>
      <c r="D1502" s="2" t="str">
        <f>"1995-06-14"</f>
        <v>1995-06-14</v>
      </c>
    </row>
    <row r="1503" spans="1:4" ht="15.75" customHeight="1" x14ac:dyDescent="0.2">
      <c r="A1503" s="2" t="s">
        <v>36</v>
      </c>
      <c r="B1503" s="2" t="str">
        <f>"尹会凯"</f>
        <v>尹会凯</v>
      </c>
      <c r="C1503" s="2" t="str">
        <f>"女"</f>
        <v>女</v>
      </c>
      <c r="D1503" s="2" t="str">
        <f>"1998-01-09"</f>
        <v>1998-01-09</v>
      </c>
    </row>
    <row r="1504" spans="1:4" ht="15.75" customHeight="1" x14ac:dyDescent="0.2">
      <c r="A1504" s="2" t="s">
        <v>66</v>
      </c>
      <c r="B1504" s="2" t="str">
        <f>"罗磊"</f>
        <v>罗磊</v>
      </c>
      <c r="C1504" s="2" t="str">
        <f>"男"</f>
        <v>男</v>
      </c>
      <c r="D1504" s="2" t="str">
        <f>"1992-08-21"</f>
        <v>1992-08-21</v>
      </c>
    </row>
    <row r="1505" spans="1:4" ht="15.75" customHeight="1" x14ac:dyDescent="0.2">
      <c r="A1505" s="2" t="s">
        <v>14</v>
      </c>
      <c r="B1505" s="2" t="str">
        <f>"杨君"</f>
        <v>杨君</v>
      </c>
      <c r="C1505" s="2" t="str">
        <f>"男"</f>
        <v>男</v>
      </c>
      <c r="D1505" s="2" t="str">
        <f>"1988-02-02"</f>
        <v>1988-02-02</v>
      </c>
    </row>
    <row r="1506" spans="1:4" ht="15.75" customHeight="1" x14ac:dyDescent="0.2">
      <c r="A1506" s="2" t="s">
        <v>36</v>
      </c>
      <c r="B1506" s="2" t="str">
        <f>"向斯琦"</f>
        <v>向斯琦</v>
      </c>
      <c r="C1506" s="2" t="str">
        <f>"女"</f>
        <v>女</v>
      </c>
      <c r="D1506" s="2" t="str">
        <f>"1998-11-02"</f>
        <v>1998-11-02</v>
      </c>
    </row>
    <row r="1507" spans="1:4" ht="15.75" customHeight="1" x14ac:dyDescent="0.2">
      <c r="A1507" s="2" t="s">
        <v>20</v>
      </c>
      <c r="B1507" s="2" t="str">
        <f>"张晨"</f>
        <v>张晨</v>
      </c>
      <c r="C1507" s="2" t="str">
        <f>"男"</f>
        <v>男</v>
      </c>
      <c r="D1507" s="2" t="str">
        <f>"1993-10-19"</f>
        <v>1993-10-19</v>
      </c>
    </row>
    <row r="1508" spans="1:4" ht="15.75" customHeight="1" x14ac:dyDescent="0.2">
      <c r="A1508" s="2" t="s">
        <v>14</v>
      </c>
      <c r="B1508" s="2" t="str">
        <f>"李一菲"</f>
        <v>李一菲</v>
      </c>
      <c r="C1508" s="2" t="str">
        <f>"女"</f>
        <v>女</v>
      </c>
      <c r="D1508" s="2" t="str">
        <f>"2000-02-03"</f>
        <v>2000-02-03</v>
      </c>
    </row>
    <row r="1509" spans="1:4" ht="15.75" customHeight="1" x14ac:dyDescent="0.2">
      <c r="A1509" s="2" t="s">
        <v>28</v>
      </c>
      <c r="B1509" s="2" t="str">
        <f>"李子漩"</f>
        <v>李子漩</v>
      </c>
      <c r="C1509" s="2" t="str">
        <f>"女"</f>
        <v>女</v>
      </c>
      <c r="D1509" s="2" t="str">
        <f>"1991-06-08"</f>
        <v>1991-06-08</v>
      </c>
    </row>
    <row r="1510" spans="1:4" ht="15.75" customHeight="1" x14ac:dyDescent="0.2">
      <c r="A1510" s="2" t="s">
        <v>51</v>
      </c>
      <c r="B1510" s="2" t="str">
        <f>"刘锦诺"</f>
        <v>刘锦诺</v>
      </c>
      <c r="C1510" s="2" t="str">
        <f>"女"</f>
        <v>女</v>
      </c>
      <c r="D1510" s="2" t="str">
        <f>"1994-05-06"</f>
        <v>1994-05-06</v>
      </c>
    </row>
    <row r="1511" spans="1:4" ht="15.75" customHeight="1" x14ac:dyDescent="0.2">
      <c r="A1511" s="2" t="s">
        <v>23</v>
      </c>
      <c r="B1511" s="2" t="str">
        <f>"范宸铭"</f>
        <v>范宸铭</v>
      </c>
      <c r="C1511" s="2" t="str">
        <f>"男"</f>
        <v>男</v>
      </c>
      <c r="D1511" s="2" t="str">
        <f>"1994-11-10"</f>
        <v>1994-11-10</v>
      </c>
    </row>
    <row r="1512" spans="1:4" ht="15.75" customHeight="1" x14ac:dyDescent="0.2">
      <c r="A1512" s="2" t="s">
        <v>52</v>
      </c>
      <c r="B1512" s="2" t="str">
        <f>"李思金"</f>
        <v>李思金</v>
      </c>
      <c r="C1512" s="2" t="str">
        <f>"男"</f>
        <v>男</v>
      </c>
      <c r="D1512" s="2" t="str">
        <f>"1998-06-06"</f>
        <v>1998-06-06</v>
      </c>
    </row>
    <row r="1513" spans="1:4" ht="15.75" customHeight="1" x14ac:dyDescent="0.2">
      <c r="A1513" s="2" t="s">
        <v>15</v>
      </c>
      <c r="B1513" s="2" t="str">
        <f>"黄李慧"</f>
        <v>黄李慧</v>
      </c>
      <c r="C1513" s="2" t="str">
        <f>"女"</f>
        <v>女</v>
      </c>
      <c r="D1513" s="2" t="str">
        <f>"1997-09-06"</f>
        <v>1997-09-06</v>
      </c>
    </row>
    <row r="1514" spans="1:4" ht="15.75" customHeight="1" x14ac:dyDescent="0.2">
      <c r="A1514" s="2" t="s">
        <v>40</v>
      </c>
      <c r="B1514" s="2" t="str">
        <f>"段敏"</f>
        <v>段敏</v>
      </c>
      <c r="C1514" s="2" t="str">
        <f>"女"</f>
        <v>女</v>
      </c>
      <c r="D1514" s="2" t="str">
        <f>"1999-02-11"</f>
        <v>1999-02-11</v>
      </c>
    </row>
    <row r="1515" spans="1:4" ht="15.75" customHeight="1" x14ac:dyDescent="0.2">
      <c r="A1515" s="2" t="s">
        <v>19</v>
      </c>
      <c r="B1515" s="2" t="str">
        <f>"易伟"</f>
        <v>易伟</v>
      </c>
      <c r="C1515" s="2" t="str">
        <f>"男"</f>
        <v>男</v>
      </c>
      <c r="D1515" s="2" t="str">
        <f>"1992-08-14"</f>
        <v>1992-08-14</v>
      </c>
    </row>
    <row r="1516" spans="1:4" ht="15.75" customHeight="1" x14ac:dyDescent="0.2">
      <c r="A1516" s="2" t="s">
        <v>13</v>
      </c>
      <c r="B1516" s="2" t="str">
        <f>"向彪"</f>
        <v>向彪</v>
      </c>
      <c r="C1516" s="2" t="str">
        <f>"男"</f>
        <v>男</v>
      </c>
      <c r="D1516" s="2" t="str">
        <f>"1991-12-16"</f>
        <v>1991-12-16</v>
      </c>
    </row>
    <row r="1517" spans="1:4" ht="15.75" customHeight="1" x14ac:dyDescent="0.2">
      <c r="A1517" s="2" t="s">
        <v>16</v>
      </c>
      <c r="B1517" s="2" t="str">
        <f>"蔡名扬"</f>
        <v>蔡名扬</v>
      </c>
      <c r="C1517" s="2" t="str">
        <f>"男"</f>
        <v>男</v>
      </c>
      <c r="D1517" s="2" t="str">
        <f>"1998-01-31"</f>
        <v>1998-01-31</v>
      </c>
    </row>
    <row r="1518" spans="1:4" ht="15.75" customHeight="1" x14ac:dyDescent="0.2">
      <c r="A1518" s="2" t="s">
        <v>20</v>
      </c>
      <c r="B1518" s="2" t="str">
        <f>"戴进进"</f>
        <v>戴进进</v>
      </c>
      <c r="C1518" s="2" t="str">
        <f>"女"</f>
        <v>女</v>
      </c>
      <c r="D1518" s="2" t="str">
        <f>"1997-03-24"</f>
        <v>1997-03-24</v>
      </c>
    </row>
    <row r="1519" spans="1:4" ht="15.75" customHeight="1" x14ac:dyDescent="0.2">
      <c r="A1519" s="2" t="s">
        <v>40</v>
      </c>
      <c r="B1519" s="2" t="str">
        <f>"韩琳"</f>
        <v>韩琳</v>
      </c>
      <c r="C1519" s="2" t="str">
        <f>"女"</f>
        <v>女</v>
      </c>
      <c r="D1519" s="2" t="str">
        <f>"1998-11-20"</f>
        <v>1998-11-20</v>
      </c>
    </row>
    <row r="1520" spans="1:4" ht="15.75" customHeight="1" x14ac:dyDescent="0.2">
      <c r="A1520" s="2" t="s">
        <v>20</v>
      </c>
      <c r="B1520" s="2" t="str">
        <f>"龙佳俊"</f>
        <v>龙佳俊</v>
      </c>
      <c r="C1520" s="2" t="str">
        <f>"男"</f>
        <v>男</v>
      </c>
      <c r="D1520" s="2" t="str">
        <f>"1991-09-03"</f>
        <v>1991-09-03</v>
      </c>
    </row>
    <row r="1521" spans="1:4" ht="15.75" customHeight="1" x14ac:dyDescent="0.2">
      <c r="A1521" s="2" t="s">
        <v>57</v>
      </c>
      <c r="B1521" s="2" t="str">
        <f>"李欢"</f>
        <v>李欢</v>
      </c>
      <c r="C1521" s="2" t="str">
        <f>"女"</f>
        <v>女</v>
      </c>
      <c r="D1521" s="2" t="str">
        <f>"1996-04-17"</f>
        <v>1996-04-17</v>
      </c>
    </row>
    <row r="1522" spans="1:4" ht="15.75" customHeight="1" x14ac:dyDescent="0.2">
      <c r="A1522" s="2" t="s">
        <v>57</v>
      </c>
      <c r="B1522" s="2" t="str">
        <f>"黄丹丹"</f>
        <v>黄丹丹</v>
      </c>
      <c r="C1522" s="2" t="str">
        <f>"女"</f>
        <v>女</v>
      </c>
      <c r="D1522" s="2" t="str">
        <f>"1998-07-20"</f>
        <v>1998-07-20</v>
      </c>
    </row>
    <row r="1523" spans="1:4" ht="15.75" customHeight="1" x14ac:dyDescent="0.2">
      <c r="A1523" s="2" t="s">
        <v>24</v>
      </c>
      <c r="B1523" s="2" t="str">
        <f>"金惠平"</f>
        <v>金惠平</v>
      </c>
      <c r="C1523" s="2" t="str">
        <f>"女"</f>
        <v>女</v>
      </c>
      <c r="D1523" s="2" t="str">
        <f>"1991-04-02"</f>
        <v>1991-04-02</v>
      </c>
    </row>
    <row r="1524" spans="1:4" ht="15.75" customHeight="1" x14ac:dyDescent="0.2">
      <c r="A1524" s="2" t="s">
        <v>15</v>
      </c>
      <c r="B1524" s="2" t="str">
        <f>"周莎"</f>
        <v>周莎</v>
      </c>
      <c r="C1524" s="2" t="str">
        <f>"女"</f>
        <v>女</v>
      </c>
      <c r="D1524" s="2" t="str">
        <f>"1994-07-12"</f>
        <v>1994-07-12</v>
      </c>
    </row>
    <row r="1525" spans="1:4" ht="15.75" customHeight="1" x14ac:dyDescent="0.2">
      <c r="A1525" s="2" t="s">
        <v>48</v>
      </c>
      <c r="B1525" s="2" t="str">
        <f>"彭瑶"</f>
        <v>彭瑶</v>
      </c>
      <c r="C1525" s="2" t="str">
        <f>"女"</f>
        <v>女</v>
      </c>
      <c r="D1525" s="2" t="str">
        <f>"1987-11-18"</f>
        <v>1987-11-18</v>
      </c>
    </row>
    <row r="1526" spans="1:4" ht="15.75" customHeight="1" x14ac:dyDescent="0.2">
      <c r="A1526" s="2" t="s">
        <v>54</v>
      </c>
      <c r="B1526" s="2" t="str">
        <f>"禹轶"</f>
        <v>禹轶</v>
      </c>
      <c r="C1526" s="2" t="str">
        <f>"男"</f>
        <v>男</v>
      </c>
      <c r="D1526" s="2" t="str">
        <f>"1988-11-16"</f>
        <v>1988-11-16</v>
      </c>
    </row>
    <row r="1527" spans="1:4" ht="15.75" customHeight="1" x14ac:dyDescent="0.2">
      <c r="A1527" s="2" t="s">
        <v>17</v>
      </c>
      <c r="B1527" s="2" t="str">
        <f>"吴梦瑶"</f>
        <v>吴梦瑶</v>
      </c>
      <c r="C1527" s="2" t="str">
        <f>"女"</f>
        <v>女</v>
      </c>
      <c r="D1527" s="2" t="str">
        <f>"1996-10-05"</f>
        <v>1996-10-05</v>
      </c>
    </row>
    <row r="1528" spans="1:4" ht="15.75" customHeight="1" x14ac:dyDescent="0.2">
      <c r="A1528" s="2" t="s">
        <v>24</v>
      </c>
      <c r="B1528" s="2" t="str">
        <f>"杨燿源"</f>
        <v>杨燿源</v>
      </c>
      <c r="C1528" s="2" t="str">
        <f>"男"</f>
        <v>男</v>
      </c>
      <c r="D1528" s="2" t="str">
        <f>"1988-10-10"</f>
        <v>1988-10-10</v>
      </c>
    </row>
    <row r="1529" spans="1:4" ht="15.75" customHeight="1" x14ac:dyDescent="0.2">
      <c r="A1529" s="2" t="s">
        <v>37</v>
      </c>
      <c r="B1529" s="2" t="str">
        <f>"卓佳"</f>
        <v>卓佳</v>
      </c>
      <c r="C1529" s="2" t="str">
        <f>"男"</f>
        <v>男</v>
      </c>
      <c r="D1529" s="2" t="str">
        <f>"1994-08-29"</f>
        <v>1994-08-29</v>
      </c>
    </row>
    <row r="1530" spans="1:4" ht="15.75" customHeight="1" x14ac:dyDescent="0.2">
      <c r="A1530" s="2" t="s">
        <v>13</v>
      </c>
      <c r="B1530" s="2" t="str">
        <f>"陈明"</f>
        <v>陈明</v>
      </c>
      <c r="C1530" s="2" t="str">
        <f>"男"</f>
        <v>男</v>
      </c>
      <c r="D1530" s="2" t="str">
        <f>"1989-06-21"</f>
        <v>1989-06-21</v>
      </c>
    </row>
    <row r="1531" spans="1:4" ht="15.75" customHeight="1" x14ac:dyDescent="0.2">
      <c r="A1531" s="2" t="s">
        <v>48</v>
      </c>
      <c r="B1531" s="2" t="str">
        <f>"贾昊"</f>
        <v>贾昊</v>
      </c>
      <c r="C1531" s="2" t="str">
        <f>"女"</f>
        <v>女</v>
      </c>
      <c r="D1531" s="2" t="str">
        <f>"1997-11-06"</f>
        <v>1997-11-06</v>
      </c>
    </row>
    <row r="1532" spans="1:4" ht="15.75" customHeight="1" x14ac:dyDescent="0.2">
      <c r="A1532" s="2" t="s">
        <v>44</v>
      </c>
      <c r="B1532" s="2" t="str">
        <f>"金鹏"</f>
        <v>金鹏</v>
      </c>
      <c r="C1532" s="2" t="str">
        <f>"男"</f>
        <v>男</v>
      </c>
      <c r="D1532" s="2" t="str">
        <f>"1996-04-04"</f>
        <v>1996-04-04</v>
      </c>
    </row>
    <row r="1533" spans="1:4" ht="15.75" customHeight="1" x14ac:dyDescent="0.2">
      <c r="A1533" s="2" t="s">
        <v>29</v>
      </c>
      <c r="B1533" s="2" t="str">
        <f>"梁佩玲"</f>
        <v>梁佩玲</v>
      </c>
      <c r="C1533" s="2" t="str">
        <f>"女"</f>
        <v>女</v>
      </c>
      <c r="D1533" s="2" t="str">
        <f>"1996-01-22"</f>
        <v>1996-01-22</v>
      </c>
    </row>
    <row r="1534" spans="1:4" ht="15.75" customHeight="1" x14ac:dyDescent="0.2">
      <c r="A1534" s="2" t="s">
        <v>52</v>
      </c>
      <c r="B1534" s="2" t="str">
        <f>"曾小妹"</f>
        <v>曾小妹</v>
      </c>
      <c r="C1534" s="2" t="str">
        <f>"女"</f>
        <v>女</v>
      </c>
      <c r="D1534" s="2" t="str">
        <f>"1997-01-05"</f>
        <v>1997-01-05</v>
      </c>
    </row>
    <row r="1535" spans="1:4" ht="15.75" customHeight="1" x14ac:dyDescent="0.2">
      <c r="A1535" s="2" t="s">
        <v>43</v>
      </c>
      <c r="B1535" s="2" t="str">
        <f>"刘清珂"</f>
        <v>刘清珂</v>
      </c>
      <c r="C1535" s="2" t="str">
        <f>"男"</f>
        <v>男</v>
      </c>
      <c r="D1535" s="2" t="str">
        <f>"1997-11-17"</f>
        <v>1997-11-17</v>
      </c>
    </row>
    <row r="1536" spans="1:4" ht="15.75" customHeight="1" x14ac:dyDescent="0.2">
      <c r="A1536" s="2" t="s">
        <v>36</v>
      </c>
      <c r="B1536" s="2" t="str">
        <f>"郭伊敏"</f>
        <v>郭伊敏</v>
      </c>
      <c r="C1536" s="2" t="str">
        <f>"女"</f>
        <v>女</v>
      </c>
      <c r="D1536" s="2" t="str">
        <f>"1999-08-05"</f>
        <v>1999-08-05</v>
      </c>
    </row>
    <row r="1537" spans="1:4" ht="15.75" customHeight="1" x14ac:dyDescent="0.2">
      <c r="A1537" s="2" t="s">
        <v>7</v>
      </c>
      <c r="B1537" s="2" t="str">
        <f>"李慧"</f>
        <v>李慧</v>
      </c>
      <c r="C1537" s="2" t="str">
        <f>"女"</f>
        <v>女</v>
      </c>
      <c r="D1537" s="2" t="str">
        <f>"1995-06-05"</f>
        <v>1995-06-05</v>
      </c>
    </row>
    <row r="1538" spans="1:4" ht="15.75" customHeight="1" x14ac:dyDescent="0.2">
      <c r="A1538" s="2" t="s">
        <v>22</v>
      </c>
      <c r="B1538" s="2" t="str">
        <f>"丁健"</f>
        <v>丁健</v>
      </c>
      <c r="C1538" s="2" t="str">
        <f>"男"</f>
        <v>男</v>
      </c>
      <c r="D1538" s="2" t="str">
        <f>"1994-04-15"</f>
        <v>1994-04-15</v>
      </c>
    </row>
    <row r="1539" spans="1:4" ht="15.75" customHeight="1" x14ac:dyDescent="0.2">
      <c r="A1539" s="2" t="s">
        <v>47</v>
      </c>
      <c r="B1539" s="2" t="str">
        <f>"龙招西"</f>
        <v>龙招西</v>
      </c>
      <c r="C1539" s="2" t="str">
        <f t="shared" ref="C1539:C1545" si="24">"女"</f>
        <v>女</v>
      </c>
      <c r="D1539" s="2" t="str">
        <f>"2000-04-17"</f>
        <v>2000-04-17</v>
      </c>
    </row>
    <row r="1540" spans="1:4" ht="15.75" customHeight="1" x14ac:dyDescent="0.2">
      <c r="A1540" s="2" t="s">
        <v>36</v>
      </c>
      <c r="B1540" s="2" t="str">
        <f>"杨雪琴"</f>
        <v>杨雪琴</v>
      </c>
      <c r="C1540" s="2" t="str">
        <f t="shared" si="24"/>
        <v>女</v>
      </c>
      <c r="D1540" s="2" t="str">
        <f>"1999-01-11"</f>
        <v>1999-01-11</v>
      </c>
    </row>
    <row r="1541" spans="1:4" ht="15.75" customHeight="1" x14ac:dyDescent="0.2">
      <c r="A1541" s="2" t="s">
        <v>18</v>
      </c>
      <c r="B1541" s="2" t="str">
        <f>"何明芳"</f>
        <v>何明芳</v>
      </c>
      <c r="C1541" s="2" t="str">
        <f t="shared" si="24"/>
        <v>女</v>
      </c>
      <c r="D1541" s="2" t="str">
        <f>"1991-02-06"</f>
        <v>1991-02-06</v>
      </c>
    </row>
    <row r="1542" spans="1:4" ht="15.75" customHeight="1" x14ac:dyDescent="0.2">
      <c r="A1542" s="2" t="s">
        <v>48</v>
      </c>
      <c r="B1542" s="2" t="str">
        <f>"周兰"</f>
        <v>周兰</v>
      </c>
      <c r="C1542" s="2" t="str">
        <f t="shared" si="24"/>
        <v>女</v>
      </c>
      <c r="D1542" s="2" t="str">
        <f>"1988-09-11"</f>
        <v>1988-09-11</v>
      </c>
    </row>
    <row r="1543" spans="1:4" ht="15.75" customHeight="1" x14ac:dyDescent="0.2">
      <c r="A1543" s="2" t="s">
        <v>14</v>
      </c>
      <c r="B1543" s="2" t="str">
        <f>"黄思"</f>
        <v>黄思</v>
      </c>
      <c r="C1543" s="2" t="str">
        <f t="shared" si="24"/>
        <v>女</v>
      </c>
      <c r="D1543" s="2" t="str">
        <f>"1997-11-01"</f>
        <v>1997-11-01</v>
      </c>
    </row>
    <row r="1544" spans="1:4" ht="15.75" customHeight="1" x14ac:dyDescent="0.2">
      <c r="A1544" s="2" t="s">
        <v>8</v>
      </c>
      <c r="B1544" s="2" t="str">
        <f>"尹静"</f>
        <v>尹静</v>
      </c>
      <c r="C1544" s="2" t="str">
        <f t="shared" si="24"/>
        <v>女</v>
      </c>
      <c r="D1544" s="2" t="str">
        <f>"1987-07-01"</f>
        <v>1987-07-01</v>
      </c>
    </row>
    <row r="1545" spans="1:4" ht="15.75" customHeight="1" x14ac:dyDescent="0.2">
      <c r="A1545" s="2" t="s">
        <v>8</v>
      </c>
      <c r="B1545" s="2" t="str">
        <f>"杨文怡"</f>
        <v>杨文怡</v>
      </c>
      <c r="C1545" s="2" t="str">
        <f t="shared" si="24"/>
        <v>女</v>
      </c>
      <c r="D1545" s="2" t="str">
        <f>"2000-06-21"</f>
        <v>2000-06-21</v>
      </c>
    </row>
    <row r="1546" spans="1:4" ht="15.75" customHeight="1" x14ac:dyDescent="0.2">
      <c r="A1546" s="2" t="s">
        <v>49</v>
      </c>
      <c r="B1546" s="2" t="str">
        <f>"王灏"</f>
        <v>王灏</v>
      </c>
      <c r="C1546" s="2" t="str">
        <f>"男"</f>
        <v>男</v>
      </c>
      <c r="D1546" s="2" t="str">
        <f>"1994-06-17"</f>
        <v>1994-06-17</v>
      </c>
    </row>
    <row r="1547" spans="1:4" ht="15.75" customHeight="1" x14ac:dyDescent="0.2">
      <c r="A1547" s="2" t="s">
        <v>61</v>
      </c>
      <c r="B1547" s="2" t="str">
        <f>"石媛"</f>
        <v>石媛</v>
      </c>
      <c r="C1547" s="2" t="str">
        <f>"女"</f>
        <v>女</v>
      </c>
      <c r="D1547" s="2" t="str">
        <f>"1997-01-09"</f>
        <v>1997-01-09</v>
      </c>
    </row>
    <row r="1548" spans="1:4" ht="15.75" customHeight="1" x14ac:dyDescent="0.2">
      <c r="A1548" s="2" t="s">
        <v>42</v>
      </c>
      <c r="B1548" s="2" t="str">
        <f>"罗承恒"</f>
        <v>罗承恒</v>
      </c>
      <c r="C1548" s="2" t="str">
        <f>"女"</f>
        <v>女</v>
      </c>
      <c r="D1548" s="2" t="str">
        <f>"1988-02-03"</f>
        <v>1988-02-03</v>
      </c>
    </row>
    <row r="1549" spans="1:4" ht="15.75" customHeight="1" x14ac:dyDescent="0.2">
      <c r="A1549" s="2" t="s">
        <v>30</v>
      </c>
      <c r="B1549" s="2" t="str">
        <f>"黄晶"</f>
        <v>黄晶</v>
      </c>
      <c r="C1549" s="2" t="str">
        <f>"男"</f>
        <v>男</v>
      </c>
      <c r="D1549" s="2" t="str">
        <f>"1995-08-04"</f>
        <v>1995-08-04</v>
      </c>
    </row>
    <row r="1550" spans="1:4" ht="15.75" customHeight="1" x14ac:dyDescent="0.2">
      <c r="A1550" s="2" t="s">
        <v>41</v>
      </c>
      <c r="B1550" s="2" t="str">
        <f>"胡丹"</f>
        <v>胡丹</v>
      </c>
      <c r="C1550" s="2" t="str">
        <f>"女"</f>
        <v>女</v>
      </c>
      <c r="D1550" s="2" t="str">
        <f>"1997-01-18"</f>
        <v>1997-01-18</v>
      </c>
    </row>
    <row r="1551" spans="1:4" ht="15.75" customHeight="1" x14ac:dyDescent="0.2">
      <c r="A1551" s="2" t="s">
        <v>73</v>
      </c>
      <c r="B1551" s="2" t="str">
        <f>"王华"</f>
        <v>王华</v>
      </c>
      <c r="C1551" s="2" t="str">
        <f t="shared" ref="C1551:C1556" si="25">"男"</f>
        <v>男</v>
      </c>
      <c r="D1551" s="2" t="str">
        <f>"1999-07-12"</f>
        <v>1999-07-12</v>
      </c>
    </row>
    <row r="1552" spans="1:4" ht="15.75" customHeight="1" x14ac:dyDescent="0.2">
      <c r="A1552" s="2" t="s">
        <v>65</v>
      </c>
      <c r="B1552" s="2" t="str">
        <f>"刘伟"</f>
        <v>刘伟</v>
      </c>
      <c r="C1552" s="2" t="str">
        <f t="shared" si="25"/>
        <v>男</v>
      </c>
      <c r="D1552" s="2" t="str">
        <f>"1992-09-16"</f>
        <v>1992-09-16</v>
      </c>
    </row>
    <row r="1553" spans="1:4" ht="15.75" customHeight="1" x14ac:dyDescent="0.2">
      <c r="A1553" s="2" t="s">
        <v>13</v>
      </c>
      <c r="B1553" s="2" t="str">
        <f>"徐磊"</f>
        <v>徐磊</v>
      </c>
      <c r="C1553" s="2" t="str">
        <f t="shared" si="25"/>
        <v>男</v>
      </c>
      <c r="D1553" s="2" t="str">
        <f>"1993-07-15"</f>
        <v>1993-07-15</v>
      </c>
    </row>
    <row r="1554" spans="1:4" ht="15.75" customHeight="1" x14ac:dyDescent="0.2">
      <c r="A1554" s="2" t="s">
        <v>6</v>
      </c>
      <c r="B1554" s="2" t="str">
        <f>"覃许桐"</f>
        <v>覃许桐</v>
      </c>
      <c r="C1554" s="2" t="str">
        <f t="shared" si="25"/>
        <v>男</v>
      </c>
      <c r="D1554" s="2" t="str">
        <f>"1991-04-03"</f>
        <v>1991-04-03</v>
      </c>
    </row>
    <row r="1555" spans="1:4" ht="15.75" customHeight="1" x14ac:dyDescent="0.2">
      <c r="A1555" s="2" t="s">
        <v>13</v>
      </c>
      <c r="B1555" s="2" t="str">
        <f>"曹晟"</f>
        <v>曹晟</v>
      </c>
      <c r="C1555" s="2" t="str">
        <f t="shared" si="25"/>
        <v>男</v>
      </c>
      <c r="D1555" s="2" t="str">
        <f>"1989-08-25"</f>
        <v>1989-08-25</v>
      </c>
    </row>
    <row r="1556" spans="1:4" ht="15.75" customHeight="1" x14ac:dyDescent="0.2">
      <c r="A1556" s="2" t="s">
        <v>64</v>
      </c>
      <c r="B1556" s="2" t="str">
        <f>"梁天天"</f>
        <v>梁天天</v>
      </c>
      <c r="C1556" s="2" t="str">
        <f t="shared" si="25"/>
        <v>男</v>
      </c>
      <c r="D1556" s="2" t="str">
        <f>"1994-06-27"</f>
        <v>1994-06-27</v>
      </c>
    </row>
    <row r="1557" spans="1:4" ht="15.75" customHeight="1" x14ac:dyDescent="0.2">
      <c r="A1557" s="2" t="s">
        <v>36</v>
      </c>
      <c r="B1557" s="2" t="str">
        <f>"周颖"</f>
        <v>周颖</v>
      </c>
      <c r="C1557" s="2" t="str">
        <f>"女"</f>
        <v>女</v>
      </c>
      <c r="D1557" s="2" t="str">
        <f>"1994-07-20"</f>
        <v>1994-07-20</v>
      </c>
    </row>
    <row r="1558" spans="1:4" ht="15.75" customHeight="1" x14ac:dyDescent="0.2">
      <c r="A1558" s="2" t="s">
        <v>29</v>
      </c>
      <c r="B1558" s="2" t="str">
        <f>"周潇"</f>
        <v>周潇</v>
      </c>
      <c r="C1558" s="2" t="str">
        <f>"男"</f>
        <v>男</v>
      </c>
      <c r="D1558" s="2" t="str">
        <f>"1995-12-06"</f>
        <v>1995-12-06</v>
      </c>
    </row>
    <row r="1559" spans="1:4" ht="15.75" customHeight="1" x14ac:dyDescent="0.2">
      <c r="A1559" s="2" t="s">
        <v>36</v>
      </c>
      <c r="B1559" s="2" t="str">
        <f>"张诗洁"</f>
        <v>张诗洁</v>
      </c>
      <c r="C1559" s="2" t="str">
        <f>"女"</f>
        <v>女</v>
      </c>
      <c r="D1559" s="2" t="str">
        <f>"1993-07-15"</f>
        <v>1993-07-15</v>
      </c>
    </row>
    <row r="1560" spans="1:4" ht="15.75" customHeight="1" x14ac:dyDescent="0.2">
      <c r="A1560" s="2" t="s">
        <v>46</v>
      </c>
      <c r="B1560" s="2" t="str">
        <f>"杨华"</f>
        <v>杨华</v>
      </c>
      <c r="C1560" s="2" t="str">
        <f>"女"</f>
        <v>女</v>
      </c>
      <c r="D1560" s="2" t="str">
        <f>"1991-11-28"</f>
        <v>1991-11-28</v>
      </c>
    </row>
    <row r="1561" spans="1:4" ht="15.75" customHeight="1" x14ac:dyDescent="0.2">
      <c r="A1561" s="2" t="s">
        <v>55</v>
      </c>
      <c r="B1561" s="2" t="str">
        <f>"陈颖"</f>
        <v>陈颖</v>
      </c>
      <c r="C1561" s="2" t="str">
        <f>"女"</f>
        <v>女</v>
      </c>
      <c r="D1561" s="2" t="str">
        <f>"1994-08-07"</f>
        <v>1994-08-07</v>
      </c>
    </row>
    <row r="1562" spans="1:4" ht="15.75" customHeight="1" x14ac:dyDescent="0.2">
      <c r="A1562" s="2" t="s">
        <v>13</v>
      </c>
      <c r="B1562" s="2" t="str">
        <f>"施蕾"</f>
        <v>施蕾</v>
      </c>
      <c r="C1562" s="2" t="str">
        <f>"女"</f>
        <v>女</v>
      </c>
      <c r="D1562" s="2" t="str">
        <f>"1999-05-29"</f>
        <v>1999-05-29</v>
      </c>
    </row>
    <row r="1563" spans="1:4" ht="15.75" customHeight="1" x14ac:dyDescent="0.2">
      <c r="A1563" s="2" t="s">
        <v>28</v>
      </c>
      <c r="B1563" s="2" t="str">
        <f>"胡梦媛"</f>
        <v>胡梦媛</v>
      </c>
      <c r="C1563" s="2" t="str">
        <f>"女"</f>
        <v>女</v>
      </c>
      <c r="D1563" s="2" t="str">
        <f>"1996-10-18"</f>
        <v>1996-10-18</v>
      </c>
    </row>
    <row r="1564" spans="1:4" ht="15.75" customHeight="1" x14ac:dyDescent="0.2">
      <c r="A1564" s="2" t="s">
        <v>30</v>
      </c>
      <c r="B1564" s="2" t="str">
        <f>"肖育欣"</f>
        <v>肖育欣</v>
      </c>
      <c r="C1564" s="2" t="str">
        <f>"男"</f>
        <v>男</v>
      </c>
      <c r="D1564" s="2" t="str">
        <f>"1994-12-05"</f>
        <v>1994-12-05</v>
      </c>
    </row>
    <row r="1565" spans="1:4" ht="15.75" customHeight="1" x14ac:dyDescent="0.2">
      <c r="A1565" s="2" t="s">
        <v>14</v>
      </c>
      <c r="B1565" s="2" t="str">
        <f>"熊铃"</f>
        <v>熊铃</v>
      </c>
      <c r="C1565" s="2" t="str">
        <f>"女"</f>
        <v>女</v>
      </c>
      <c r="D1565" s="2" t="str">
        <f>"1998-08-30"</f>
        <v>1998-08-30</v>
      </c>
    </row>
    <row r="1566" spans="1:4" ht="15.75" customHeight="1" x14ac:dyDescent="0.2">
      <c r="A1566" s="2" t="s">
        <v>31</v>
      </c>
      <c r="B1566" s="2" t="str">
        <f>"万紫烨"</f>
        <v>万紫烨</v>
      </c>
      <c r="C1566" s="2" t="str">
        <f>"女"</f>
        <v>女</v>
      </c>
      <c r="D1566" s="2" t="str">
        <f>"1990-09-05"</f>
        <v>1990-09-05</v>
      </c>
    </row>
    <row r="1567" spans="1:4" ht="15.75" customHeight="1" x14ac:dyDescent="0.2">
      <c r="A1567" s="2" t="s">
        <v>22</v>
      </c>
      <c r="B1567" s="2" t="str">
        <f>"侯巍"</f>
        <v>侯巍</v>
      </c>
      <c r="C1567" s="2" t="str">
        <f>"男"</f>
        <v>男</v>
      </c>
      <c r="D1567" s="2" t="str">
        <f>"1993-08-16"</f>
        <v>1993-08-16</v>
      </c>
    </row>
    <row r="1568" spans="1:4" ht="15.75" customHeight="1" x14ac:dyDescent="0.2">
      <c r="A1568" s="2" t="s">
        <v>46</v>
      </c>
      <c r="B1568" s="2" t="str">
        <f>"戴学顺"</f>
        <v>戴学顺</v>
      </c>
      <c r="C1568" s="2" t="str">
        <f>"男"</f>
        <v>男</v>
      </c>
      <c r="D1568" s="2" t="str">
        <f>"1989-08-07"</f>
        <v>1989-08-07</v>
      </c>
    </row>
    <row r="1569" spans="1:4" ht="15.75" customHeight="1" x14ac:dyDescent="0.2">
      <c r="A1569" s="2" t="s">
        <v>65</v>
      </c>
      <c r="B1569" s="2" t="str">
        <f>"何曼"</f>
        <v>何曼</v>
      </c>
      <c r="C1569" s="2" t="str">
        <f>"女"</f>
        <v>女</v>
      </c>
      <c r="D1569" s="2" t="str">
        <f>"1988-12-16"</f>
        <v>1988-12-16</v>
      </c>
    </row>
    <row r="1570" spans="1:4" ht="15.75" customHeight="1" x14ac:dyDescent="0.2">
      <c r="A1570" s="2" t="s">
        <v>55</v>
      </c>
      <c r="B1570" s="2" t="str">
        <f>"刘小雅"</f>
        <v>刘小雅</v>
      </c>
      <c r="C1570" s="2" t="str">
        <f>"女"</f>
        <v>女</v>
      </c>
      <c r="D1570" s="2" t="str">
        <f>"1998-08-14"</f>
        <v>1998-08-14</v>
      </c>
    </row>
    <row r="1571" spans="1:4" ht="15.75" customHeight="1" x14ac:dyDescent="0.2">
      <c r="A1571" s="2" t="s">
        <v>50</v>
      </c>
      <c r="B1571" s="2" t="str">
        <f>"李湘琴"</f>
        <v>李湘琴</v>
      </c>
      <c r="C1571" s="2" t="str">
        <f>"女"</f>
        <v>女</v>
      </c>
      <c r="D1571" s="2" t="str">
        <f>"1996-04-05"</f>
        <v>1996-04-05</v>
      </c>
    </row>
    <row r="1572" spans="1:4" ht="15.75" customHeight="1" x14ac:dyDescent="0.2">
      <c r="A1572" s="2" t="s">
        <v>8</v>
      </c>
      <c r="B1572" s="2" t="str">
        <f>"龙佑辉"</f>
        <v>龙佑辉</v>
      </c>
      <c r="C1572" s="2" t="str">
        <f>"女"</f>
        <v>女</v>
      </c>
      <c r="D1572" s="2" t="str">
        <f>"1997-06-28"</f>
        <v>1997-06-28</v>
      </c>
    </row>
    <row r="1573" spans="1:4" ht="15.75" customHeight="1" x14ac:dyDescent="0.2">
      <c r="A1573" s="2" t="s">
        <v>28</v>
      </c>
      <c r="B1573" s="2" t="str">
        <f>"戴东升"</f>
        <v>戴东升</v>
      </c>
      <c r="C1573" s="2" t="str">
        <f>"男"</f>
        <v>男</v>
      </c>
      <c r="D1573" s="2" t="str">
        <f>"1997-10-29"</f>
        <v>1997-10-29</v>
      </c>
    </row>
    <row r="1574" spans="1:4" ht="15.75" customHeight="1" x14ac:dyDescent="0.2">
      <c r="A1574" s="2" t="s">
        <v>15</v>
      </c>
      <c r="B1574" s="2" t="str">
        <f>"马杨"</f>
        <v>马杨</v>
      </c>
      <c r="C1574" s="2" t="str">
        <f>"女"</f>
        <v>女</v>
      </c>
      <c r="D1574" s="2" t="str">
        <f>"1989-03-04"</f>
        <v>1989-03-04</v>
      </c>
    </row>
    <row r="1575" spans="1:4" ht="15.75" customHeight="1" x14ac:dyDescent="0.2">
      <c r="A1575" s="2" t="s">
        <v>24</v>
      </c>
      <c r="B1575" s="2" t="str">
        <f>"汪长峰"</f>
        <v>汪长峰</v>
      </c>
      <c r="C1575" s="2" t="str">
        <f>"男"</f>
        <v>男</v>
      </c>
      <c r="D1575" s="2" t="str">
        <f>"1994-07-02"</f>
        <v>1994-07-02</v>
      </c>
    </row>
    <row r="1576" spans="1:4" ht="15.75" customHeight="1" x14ac:dyDescent="0.2">
      <c r="A1576" s="2" t="s">
        <v>52</v>
      </c>
      <c r="B1576" s="2" t="str">
        <f>"王艺"</f>
        <v>王艺</v>
      </c>
      <c r="C1576" s="2" t="str">
        <f>"女"</f>
        <v>女</v>
      </c>
      <c r="D1576" s="2" t="str">
        <f>"1994-01-07"</f>
        <v>1994-01-07</v>
      </c>
    </row>
    <row r="1577" spans="1:4" ht="15.75" customHeight="1" x14ac:dyDescent="0.2">
      <c r="A1577" s="2" t="s">
        <v>27</v>
      </c>
      <c r="B1577" s="2" t="str">
        <f>"牟珩"</f>
        <v>牟珩</v>
      </c>
      <c r="C1577" s="2" t="str">
        <f>"男"</f>
        <v>男</v>
      </c>
      <c r="D1577" s="2" t="str">
        <f>"1998-04-07"</f>
        <v>1998-04-07</v>
      </c>
    </row>
    <row r="1578" spans="1:4" ht="15.75" customHeight="1" x14ac:dyDescent="0.2">
      <c r="A1578" s="2" t="s">
        <v>29</v>
      </c>
      <c r="B1578" s="2" t="str">
        <f>"朱凡"</f>
        <v>朱凡</v>
      </c>
      <c r="C1578" s="2" t="str">
        <f>"女"</f>
        <v>女</v>
      </c>
      <c r="D1578" s="2" t="str">
        <f>"1995-08-20"</f>
        <v>1995-08-20</v>
      </c>
    </row>
    <row r="1579" spans="1:4" ht="15.75" customHeight="1" x14ac:dyDescent="0.2">
      <c r="A1579" s="2" t="s">
        <v>35</v>
      </c>
      <c r="B1579" s="2" t="str">
        <f>"杨晋"</f>
        <v>杨晋</v>
      </c>
      <c r="C1579" s="2" t="str">
        <f>"男"</f>
        <v>男</v>
      </c>
      <c r="D1579" s="2" t="str">
        <f>"1993-06-01"</f>
        <v>1993-06-01</v>
      </c>
    </row>
    <row r="1580" spans="1:4" ht="15.75" customHeight="1" x14ac:dyDescent="0.2">
      <c r="A1580" s="2" t="s">
        <v>14</v>
      </c>
      <c r="B1580" s="2" t="str">
        <f>"黎琼"</f>
        <v>黎琼</v>
      </c>
      <c r="C1580" s="2" t="str">
        <f>"女"</f>
        <v>女</v>
      </c>
      <c r="D1580" s="2" t="str">
        <f>"1994-07-12"</f>
        <v>1994-07-12</v>
      </c>
    </row>
    <row r="1581" spans="1:4" ht="15.75" customHeight="1" x14ac:dyDescent="0.2">
      <c r="A1581" s="2" t="s">
        <v>65</v>
      </c>
      <c r="B1581" s="2" t="str">
        <f>"曾惠"</f>
        <v>曾惠</v>
      </c>
      <c r="C1581" s="2" t="str">
        <f>"女"</f>
        <v>女</v>
      </c>
      <c r="D1581" s="2" t="str">
        <f>"1988-01-19"</f>
        <v>1988-01-19</v>
      </c>
    </row>
    <row r="1582" spans="1:4" ht="15.75" customHeight="1" x14ac:dyDescent="0.2">
      <c r="A1582" s="2" t="s">
        <v>24</v>
      </c>
      <c r="B1582" s="2" t="str">
        <f>"张雅静"</f>
        <v>张雅静</v>
      </c>
      <c r="C1582" s="2" t="str">
        <f>"女"</f>
        <v>女</v>
      </c>
      <c r="D1582" s="2" t="str">
        <f>"1994-04-02"</f>
        <v>1994-04-02</v>
      </c>
    </row>
    <row r="1583" spans="1:4" ht="15.75" customHeight="1" x14ac:dyDescent="0.2">
      <c r="A1583" s="2" t="s">
        <v>31</v>
      </c>
      <c r="B1583" s="2" t="str">
        <f>"王华东"</f>
        <v>王华东</v>
      </c>
      <c r="C1583" s="2" t="str">
        <f>"男"</f>
        <v>男</v>
      </c>
      <c r="D1583" s="2" t="str">
        <f>"1996-12-12"</f>
        <v>1996-12-12</v>
      </c>
    </row>
    <row r="1584" spans="1:4" ht="15.75" customHeight="1" x14ac:dyDescent="0.2">
      <c r="A1584" s="2" t="s">
        <v>14</v>
      </c>
      <c r="B1584" s="2" t="str">
        <f>"许艺贤"</f>
        <v>许艺贤</v>
      </c>
      <c r="C1584" s="2" t="str">
        <f>"男"</f>
        <v>男</v>
      </c>
      <c r="D1584" s="2" t="str">
        <f>"1999-09-13"</f>
        <v>1999-09-13</v>
      </c>
    </row>
    <row r="1585" spans="1:4" ht="15.75" customHeight="1" x14ac:dyDescent="0.2">
      <c r="A1585" s="2" t="s">
        <v>22</v>
      </c>
      <c r="B1585" s="2" t="str">
        <f>"谢菁菁"</f>
        <v>谢菁菁</v>
      </c>
      <c r="C1585" s="2" t="str">
        <f>"女"</f>
        <v>女</v>
      </c>
      <c r="D1585" s="2" t="str">
        <f>"1994-08-18"</f>
        <v>1994-08-18</v>
      </c>
    </row>
    <row r="1586" spans="1:4" ht="15.75" customHeight="1" x14ac:dyDescent="0.2">
      <c r="A1586" s="2" t="s">
        <v>57</v>
      </c>
      <c r="B1586" s="2" t="str">
        <f>"贺可彪"</f>
        <v>贺可彪</v>
      </c>
      <c r="C1586" s="2" t="str">
        <f>"男"</f>
        <v>男</v>
      </c>
      <c r="D1586" s="2" t="str">
        <f>"1999-02-15"</f>
        <v>1999-02-15</v>
      </c>
    </row>
    <row r="1587" spans="1:4" ht="15.75" customHeight="1" x14ac:dyDescent="0.2">
      <c r="A1587" s="2" t="s">
        <v>13</v>
      </c>
      <c r="B1587" s="2" t="str">
        <f>"黄生智"</f>
        <v>黄生智</v>
      </c>
      <c r="C1587" s="2" t="str">
        <f>"男"</f>
        <v>男</v>
      </c>
      <c r="D1587" s="2" t="str">
        <f>"1991-08-30"</f>
        <v>1991-08-30</v>
      </c>
    </row>
    <row r="1588" spans="1:4" ht="15.75" customHeight="1" x14ac:dyDescent="0.2">
      <c r="A1588" s="2" t="s">
        <v>49</v>
      </c>
      <c r="B1588" s="2" t="str">
        <f>"吴炜圣"</f>
        <v>吴炜圣</v>
      </c>
      <c r="C1588" s="2" t="str">
        <f>"男"</f>
        <v>男</v>
      </c>
      <c r="D1588" s="2" t="str">
        <f>"1990-11-28"</f>
        <v>1990-11-28</v>
      </c>
    </row>
    <row r="1589" spans="1:4" ht="15.75" customHeight="1" x14ac:dyDescent="0.2">
      <c r="A1589" s="2" t="s">
        <v>13</v>
      </c>
      <c r="B1589" s="2" t="str">
        <f>"鲁冰花"</f>
        <v>鲁冰花</v>
      </c>
      <c r="C1589" s="2" t="str">
        <f>"女"</f>
        <v>女</v>
      </c>
      <c r="D1589" s="2" t="str">
        <f>"1991-01-21"</f>
        <v>1991-01-21</v>
      </c>
    </row>
    <row r="1590" spans="1:4" ht="15.75" customHeight="1" x14ac:dyDescent="0.2">
      <c r="A1590" s="2" t="s">
        <v>13</v>
      </c>
      <c r="B1590" s="2" t="str">
        <f>"伍国柱"</f>
        <v>伍国柱</v>
      </c>
      <c r="C1590" s="2" t="str">
        <f>"女"</f>
        <v>女</v>
      </c>
      <c r="D1590" s="2" t="str">
        <f>"1999-10-05"</f>
        <v>1999-10-05</v>
      </c>
    </row>
    <row r="1591" spans="1:4" ht="15.75" customHeight="1" x14ac:dyDescent="0.2">
      <c r="A1591" s="2" t="s">
        <v>4</v>
      </c>
      <c r="B1591" s="2" t="str">
        <f>"周杰"</f>
        <v>周杰</v>
      </c>
      <c r="C1591" s="2" t="str">
        <f>"男"</f>
        <v>男</v>
      </c>
      <c r="D1591" s="2" t="str">
        <f>"1996-02-21"</f>
        <v>1996-02-21</v>
      </c>
    </row>
    <row r="1592" spans="1:4" ht="15.75" customHeight="1" x14ac:dyDescent="0.2">
      <c r="A1592" s="2" t="s">
        <v>36</v>
      </c>
      <c r="B1592" s="2" t="str">
        <f>"曹洁"</f>
        <v>曹洁</v>
      </c>
      <c r="C1592" s="2" t="str">
        <f>"女"</f>
        <v>女</v>
      </c>
      <c r="D1592" s="2" t="str">
        <f>"1999-08-24"</f>
        <v>1999-08-24</v>
      </c>
    </row>
    <row r="1593" spans="1:4" ht="15.75" customHeight="1" x14ac:dyDescent="0.2">
      <c r="A1593" s="2" t="s">
        <v>51</v>
      </c>
      <c r="B1593" s="2" t="str">
        <f>"崔玉艳"</f>
        <v>崔玉艳</v>
      </c>
      <c r="C1593" s="2" t="str">
        <f>"女"</f>
        <v>女</v>
      </c>
      <c r="D1593" s="2" t="str">
        <f>"1996-01-14"</f>
        <v>1996-01-14</v>
      </c>
    </row>
    <row r="1594" spans="1:4" ht="15.75" customHeight="1" x14ac:dyDescent="0.2">
      <c r="A1594" s="2" t="s">
        <v>15</v>
      </c>
      <c r="B1594" s="2" t="str">
        <f>"翟坷娜"</f>
        <v>翟坷娜</v>
      </c>
      <c r="C1594" s="2" t="str">
        <f>"女"</f>
        <v>女</v>
      </c>
      <c r="D1594" s="2" t="str">
        <f>"1995-08-23"</f>
        <v>1995-08-23</v>
      </c>
    </row>
    <row r="1595" spans="1:4" ht="15.75" customHeight="1" x14ac:dyDescent="0.2">
      <c r="A1595" s="2" t="s">
        <v>14</v>
      </c>
      <c r="B1595" s="2" t="str">
        <f>"肖凯"</f>
        <v>肖凯</v>
      </c>
      <c r="C1595" s="2" t="str">
        <f>"男"</f>
        <v>男</v>
      </c>
      <c r="D1595" s="2" t="str">
        <f>"1996-06-30"</f>
        <v>1996-06-30</v>
      </c>
    </row>
    <row r="1596" spans="1:4" ht="15.75" customHeight="1" x14ac:dyDescent="0.2">
      <c r="A1596" s="2" t="s">
        <v>30</v>
      </c>
      <c r="B1596" s="2" t="str">
        <f>"黄朝阳"</f>
        <v>黄朝阳</v>
      </c>
      <c r="C1596" s="2" t="str">
        <f>"女"</f>
        <v>女</v>
      </c>
      <c r="D1596" s="2" t="str">
        <f>"1995-05-25"</f>
        <v>1995-05-25</v>
      </c>
    </row>
    <row r="1597" spans="1:4" ht="15.75" customHeight="1" x14ac:dyDescent="0.2">
      <c r="A1597" s="2" t="s">
        <v>12</v>
      </c>
      <c r="B1597" s="2" t="str">
        <f>"饶芷怡"</f>
        <v>饶芷怡</v>
      </c>
      <c r="C1597" s="2" t="str">
        <f>"女"</f>
        <v>女</v>
      </c>
      <c r="D1597" s="2" t="str">
        <f>"1998-06-24"</f>
        <v>1998-06-24</v>
      </c>
    </row>
    <row r="1598" spans="1:4" ht="15.75" customHeight="1" x14ac:dyDescent="0.2">
      <c r="A1598" s="2" t="s">
        <v>20</v>
      </c>
      <c r="B1598" s="2" t="str">
        <f>"裴兴荣"</f>
        <v>裴兴荣</v>
      </c>
      <c r="C1598" s="2" t="str">
        <f>"女"</f>
        <v>女</v>
      </c>
      <c r="D1598" s="2" t="str">
        <f>"1994-11-22"</f>
        <v>1994-11-22</v>
      </c>
    </row>
    <row r="1599" spans="1:4" ht="15.75" customHeight="1" x14ac:dyDescent="0.2">
      <c r="A1599" s="2" t="s">
        <v>54</v>
      </c>
      <c r="B1599" s="2" t="str">
        <f>"胡云海"</f>
        <v>胡云海</v>
      </c>
      <c r="C1599" s="2" t="str">
        <f>"男"</f>
        <v>男</v>
      </c>
      <c r="D1599" s="2" t="str">
        <f>"1998-07-14"</f>
        <v>1998-07-14</v>
      </c>
    </row>
    <row r="1600" spans="1:4" ht="15.75" customHeight="1" x14ac:dyDescent="0.2">
      <c r="A1600" s="2" t="s">
        <v>14</v>
      </c>
      <c r="B1600" s="2" t="str">
        <f>"梁鹏"</f>
        <v>梁鹏</v>
      </c>
      <c r="C1600" s="2" t="str">
        <f>"男"</f>
        <v>男</v>
      </c>
      <c r="D1600" s="2" t="str">
        <f>"1994-05-21"</f>
        <v>1994-05-21</v>
      </c>
    </row>
    <row r="1601" spans="1:4" ht="15.75" customHeight="1" x14ac:dyDescent="0.2">
      <c r="A1601" s="2" t="s">
        <v>71</v>
      </c>
      <c r="B1601" s="2" t="str">
        <f>"朱秋敏"</f>
        <v>朱秋敏</v>
      </c>
      <c r="C1601" s="2" t="str">
        <f>"女"</f>
        <v>女</v>
      </c>
      <c r="D1601" s="2" t="str">
        <f>"1995-08-20"</f>
        <v>1995-08-20</v>
      </c>
    </row>
    <row r="1602" spans="1:4" ht="15.75" customHeight="1" x14ac:dyDescent="0.2">
      <c r="A1602" s="2" t="s">
        <v>4</v>
      </c>
      <c r="B1602" s="2" t="str">
        <f>"许晨"</f>
        <v>许晨</v>
      </c>
      <c r="C1602" s="2" t="str">
        <f>"男"</f>
        <v>男</v>
      </c>
      <c r="D1602" s="2" t="str">
        <f>"1995-10-05"</f>
        <v>1995-10-05</v>
      </c>
    </row>
    <row r="1603" spans="1:4" ht="15.75" customHeight="1" x14ac:dyDescent="0.2">
      <c r="A1603" s="2" t="s">
        <v>32</v>
      </c>
      <c r="B1603" s="2" t="str">
        <f>"陈立红"</f>
        <v>陈立红</v>
      </c>
      <c r="C1603" s="2" t="str">
        <f>"女"</f>
        <v>女</v>
      </c>
      <c r="D1603" s="2" t="str">
        <f>"1995-08-26"</f>
        <v>1995-08-26</v>
      </c>
    </row>
    <row r="1604" spans="1:4" ht="15.75" customHeight="1" x14ac:dyDescent="0.2">
      <c r="A1604" s="2" t="s">
        <v>61</v>
      </c>
      <c r="B1604" s="2" t="str">
        <f>"黄文韬"</f>
        <v>黄文韬</v>
      </c>
      <c r="C1604" s="2" t="str">
        <f>"女"</f>
        <v>女</v>
      </c>
      <c r="D1604" s="2" t="str">
        <f>"1998-08-26"</f>
        <v>1998-08-26</v>
      </c>
    </row>
    <row r="1605" spans="1:4" ht="15.75" customHeight="1" x14ac:dyDescent="0.2">
      <c r="A1605" s="2" t="s">
        <v>14</v>
      </c>
      <c r="B1605" s="2" t="str">
        <f>"陈程"</f>
        <v>陈程</v>
      </c>
      <c r="C1605" s="2" t="str">
        <f>"男"</f>
        <v>男</v>
      </c>
      <c r="D1605" s="2" t="str">
        <f>"1986-07-14"</f>
        <v>1986-07-14</v>
      </c>
    </row>
    <row r="1606" spans="1:4" ht="15.75" customHeight="1" x14ac:dyDescent="0.2">
      <c r="A1606" s="2" t="s">
        <v>30</v>
      </c>
      <c r="B1606" s="2" t="str">
        <f>"张凯"</f>
        <v>张凯</v>
      </c>
      <c r="C1606" s="2" t="str">
        <f>"男"</f>
        <v>男</v>
      </c>
      <c r="D1606" s="2" t="str">
        <f>"1992-07-22"</f>
        <v>1992-07-22</v>
      </c>
    </row>
    <row r="1607" spans="1:4" ht="15.75" customHeight="1" x14ac:dyDescent="0.2">
      <c r="A1607" s="2" t="s">
        <v>46</v>
      </c>
      <c r="B1607" s="2" t="str">
        <f>"刘洋"</f>
        <v>刘洋</v>
      </c>
      <c r="C1607" s="2" t="str">
        <f>"女"</f>
        <v>女</v>
      </c>
      <c r="D1607" s="2" t="str">
        <f>"1989-12-04"</f>
        <v>1989-12-04</v>
      </c>
    </row>
    <row r="1608" spans="1:4" ht="15.75" customHeight="1" x14ac:dyDescent="0.2">
      <c r="A1608" s="2" t="s">
        <v>15</v>
      </c>
      <c r="B1608" s="2" t="str">
        <f>"廖雄伟"</f>
        <v>廖雄伟</v>
      </c>
      <c r="C1608" s="2" t="str">
        <f>"男"</f>
        <v>男</v>
      </c>
      <c r="D1608" s="2" t="str">
        <f>"1997-02-26"</f>
        <v>1997-02-26</v>
      </c>
    </row>
    <row r="1609" spans="1:4" ht="15.75" customHeight="1" x14ac:dyDescent="0.2">
      <c r="A1609" s="2" t="s">
        <v>27</v>
      </c>
      <c r="B1609" s="2" t="str">
        <f>"吴文"</f>
        <v>吴文</v>
      </c>
      <c r="C1609" s="2" t="str">
        <f>"男"</f>
        <v>男</v>
      </c>
      <c r="D1609" s="2" t="str">
        <f>"1998-09-03"</f>
        <v>1998-09-03</v>
      </c>
    </row>
    <row r="1610" spans="1:4" ht="15.75" customHeight="1" x14ac:dyDescent="0.2">
      <c r="A1610" s="2" t="s">
        <v>8</v>
      </c>
      <c r="B1610" s="2" t="str">
        <f>"左伟"</f>
        <v>左伟</v>
      </c>
      <c r="C1610" s="2" t="str">
        <f>"女"</f>
        <v>女</v>
      </c>
      <c r="D1610" s="2" t="str">
        <f>"1997-12-09"</f>
        <v>1997-12-09</v>
      </c>
    </row>
    <row r="1611" spans="1:4" ht="15.75" customHeight="1" x14ac:dyDescent="0.2">
      <c r="A1611" s="2" t="s">
        <v>28</v>
      </c>
      <c r="B1611" s="2" t="str">
        <f>"徐诗琴"</f>
        <v>徐诗琴</v>
      </c>
      <c r="C1611" s="2" t="str">
        <f>"女"</f>
        <v>女</v>
      </c>
      <c r="D1611" s="2" t="str">
        <f>"1996-12-09"</f>
        <v>1996-12-09</v>
      </c>
    </row>
    <row r="1612" spans="1:4" ht="15.75" customHeight="1" x14ac:dyDescent="0.2">
      <c r="A1612" s="2" t="s">
        <v>44</v>
      </c>
      <c r="B1612" s="2" t="str">
        <f>"冯翔"</f>
        <v>冯翔</v>
      </c>
      <c r="C1612" s="2" t="str">
        <f>"男"</f>
        <v>男</v>
      </c>
      <c r="D1612" s="2" t="str">
        <f>"1992-09-17"</f>
        <v>1992-09-17</v>
      </c>
    </row>
    <row r="1613" spans="1:4" ht="15.75" customHeight="1" x14ac:dyDescent="0.2">
      <c r="A1613" s="2" t="s">
        <v>20</v>
      </c>
      <c r="B1613" s="2" t="str">
        <f>"张莉萍"</f>
        <v>张莉萍</v>
      </c>
      <c r="C1613" s="2" t="str">
        <f>"女"</f>
        <v>女</v>
      </c>
      <c r="D1613" s="2" t="str">
        <f>"1996-02-26"</f>
        <v>1996-02-26</v>
      </c>
    </row>
    <row r="1614" spans="1:4" ht="15.75" customHeight="1" x14ac:dyDescent="0.2">
      <c r="A1614" s="2" t="s">
        <v>13</v>
      </c>
      <c r="B1614" s="2" t="str">
        <f>"许春蓉"</f>
        <v>许春蓉</v>
      </c>
      <c r="C1614" s="2" t="str">
        <f>"女"</f>
        <v>女</v>
      </c>
      <c r="D1614" s="2" t="str">
        <f>"1992-07-15"</f>
        <v>1992-07-15</v>
      </c>
    </row>
    <row r="1615" spans="1:4" ht="15.75" customHeight="1" x14ac:dyDescent="0.2">
      <c r="A1615" s="2" t="s">
        <v>34</v>
      </c>
      <c r="B1615" s="2" t="str">
        <f>"陈琳"</f>
        <v>陈琳</v>
      </c>
      <c r="C1615" s="2" t="str">
        <f>"男"</f>
        <v>男</v>
      </c>
      <c r="D1615" s="2" t="str">
        <f>"1995-12-13"</f>
        <v>1995-12-13</v>
      </c>
    </row>
    <row r="1616" spans="1:4" ht="15.75" customHeight="1" x14ac:dyDescent="0.2">
      <c r="A1616" s="2" t="s">
        <v>15</v>
      </c>
      <c r="B1616" s="2" t="str">
        <f>"易鹏"</f>
        <v>易鹏</v>
      </c>
      <c r="C1616" s="2" t="str">
        <f>"男"</f>
        <v>男</v>
      </c>
      <c r="D1616" s="2" t="str">
        <f>"1993-03-28"</f>
        <v>1993-03-28</v>
      </c>
    </row>
    <row r="1617" spans="1:4" ht="15.75" customHeight="1" x14ac:dyDescent="0.2">
      <c r="A1617" s="2" t="s">
        <v>28</v>
      </c>
      <c r="B1617" s="2" t="str">
        <f>"胡毅"</f>
        <v>胡毅</v>
      </c>
      <c r="C1617" s="2" t="str">
        <f>"男"</f>
        <v>男</v>
      </c>
      <c r="D1617" s="2" t="str">
        <f>"1994-07-23"</f>
        <v>1994-07-23</v>
      </c>
    </row>
    <row r="1618" spans="1:4" ht="15.75" customHeight="1" x14ac:dyDescent="0.2">
      <c r="A1618" s="2" t="s">
        <v>58</v>
      </c>
      <c r="B1618" s="2" t="str">
        <f>"戴佳丽"</f>
        <v>戴佳丽</v>
      </c>
      <c r="C1618" s="2" t="str">
        <f>"女"</f>
        <v>女</v>
      </c>
      <c r="D1618" s="2" t="str">
        <f>"1997-05-29"</f>
        <v>1997-05-29</v>
      </c>
    </row>
    <row r="1619" spans="1:4" ht="15.75" customHeight="1" x14ac:dyDescent="0.2">
      <c r="A1619" s="2" t="s">
        <v>22</v>
      </c>
      <c r="B1619" s="2" t="str">
        <f>"李黄靖"</f>
        <v>李黄靖</v>
      </c>
      <c r="C1619" s="2" t="str">
        <f>"女"</f>
        <v>女</v>
      </c>
      <c r="D1619" s="2" t="str">
        <f>"1999-07-27"</f>
        <v>1999-07-27</v>
      </c>
    </row>
    <row r="1620" spans="1:4" ht="15.75" customHeight="1" x14ac:dyDescent="0.2">
      <c r="A1620" s="2" t="s">
        <v>8</v>
      </c>
      <c r="B1620" s="2" t="str">
        <f>"彭忠"</f>
        <v>彭忠</v>
      </c>
      <c r="C1620" s="2" t="str">
        <f>"男"</f>
        <v>男</v>
      </c>
      <c r="D1620" s="2" t="str">
        <f>"1992-04-18"</f>
        <v>1992-04-18</v>
      </c>
    </row>
    <row r="1621" spans="1:4" ht="15.75" customHeight="1" x14ac:dyDescent="0.2">
      <c r="A1621" s="2" t="s">
        <v>57</v>
      </c>
      <c r="B1621" s="2" t="str">
        <f>"曾静"</f>
        <v>曾静</v>
      </c>
      <c r="C1621" s="2" t="str">
        <f>"女"</f>
        <v>女</v>
      </c>
      <c r="D1621" s="2" t="str">
        <f>"1999-04-08"</f>
        <v>1999-04-08</v>
      </c>
    </row>
    <row r="1622" spans="1:4" ht="15.75" customHeight="1" x14ac:dyDescent="0.2">
      <c r="A1622" s="2" t="s">
        <v>44</v>
      </c>
      <c r="B1622" s="2" t="str">
        <f>"熊子月"</f>
        <v>熊子月</v>
      </c>
      <c r="C1622" s="2" t="str">
        <f>"女"</f>
        <v>女</v>
      </c>
      <c r="D1622" s="2" t="str">
        <f>"1994-10-03"</f>
        <v>1994-10-03</v>
      </c>
    </row>
    <row r="1623" spans="1:4" ht="15.75" customHeight="1" x14ac:dyDescent="0.2">
      <c r="A1623" s="2" t="s">
        <v>42</v>
      </c>
      <c r="B1623" s="2" t="str">
        <f>"曾洁"</f>
        <v>曾洁</v>
      </c>
      <c r="C1623" s="2" t="str">
        <f>"女"</f>
        <v>女</v>
      </c>
      <c r="D1623" s="2" t="str">
        <f>"1993-08-10"</f>
        <v>1993-08-10</v>
      </c>
    </row>
    <row r="1624" spans="1:4" ht="15.75" customHeight="1" x14ac:dyDescent="0.2">
      <c r="A1624" s="2" t="s">
        <v>36</v>
      </c>
      <c r="B1624" s="2" t="str">
        <f>"刘福英"</f>
        <v>刘福英</v>
      </c>
      <c r="C1624" s="2" t="str">
        <f>"女"</f>
        <v>女</v>
      </c>
      <c r="D1624" s="2" t="str">
        <f>"1996-07-14"</f>
        <v>1996-07-14</v>
      </c>
    </row>
    <row r="1625" spans="1:4" ht="15.75" customHeight="1" x14ac:dyDescent="0.2">
      <c r="A1625" s="2" t="s">
        <v>10</v>
      </c>
      <c r="B1625" s="2" t="str">
        <f>"陈香"</f>
        <v>陈香</v>
      </c>
      <c r="C1625" s="2" t="str">
        <f>"女"</f>
        <v>女</v>
      </c>
      <c r="D1625" s="2" t="str">
        <f>"1997-09-25"</f>
        <v>1997-09-25</v>
      </c>
    </row>
    <row r="1626" spans="1:4" ht="15.75" customHeight="1" x14ac:dyDescent="0.2">
      <c r="A1626" s="2" t="s">
        <v>16</v>
      </c>
      <c r="B1626" s="2" t="str">
        <f>"曾毅刚"</f>
        <v>曾毅刚</v>
      </c>
      <c r="C1626" s="2" t="str">
        <f>"男"</f>
        <v>男</v>
      </c>
      <c r="D1626" s="2" t="str">
        <f>"1999-06-26"</f>
        <v>1999-06-26</v>
      </c>
    </row>
    <row r="1627" spans="1:4" ht="15.75" customHeight="1" x14ac:dyDescent="0.2">
      <c r="A1627" s="2" t="s">
        <v>13</v>
      </c>
      <c r="B1627" s="2" t="str">
        <f>"李肸昊"</f>
        <v>李肸昊</v>
      </c>
      <c r="C1627" s="2" t="str">
        <f>"男"</f>
        <v>男</v>
      </c>
      <c r="D1627" s="2" t="str">
        <f>"1994-12-05"</f>
        <v>1994-12-05</v>
      </c>
    </row>
    <row r="1628" spans="1:4" ht="15.75" customHeight="1" x14ac:dyDescent="0.2">
      <c r="A1628" s="2" t="s">
        <v>30</v>
      </c>
      <c r="B1628" s="2" t="str">
        <f>"黄诗淳"</f>
        <v>黄诗淳</v>
      </c>
      <c r="C1628" s="2" t="str">
        <f>"男"</f>
        <v>男</v>
      </c>
      <c r="D1628" s="2" t="str">
        <f>"1995-08-11"</f>
        <v>1995-08-11</v>
      </c>
    </row>
    <row r="1629" spans="1:4" ht="15.75" customHeight="1" x14ac:dyDescent="0.2">
      <c r="A1629" s="2" t="s">
        <v>16</v>
      </c>
      <c r="B1629" s="2" t="str">
        <f>"周迎鑫"</f>
        <v>周迎鑫</v>
      </c>
      <c r="C1629" s="2" t="str">
        <f>"女"</f>
        <v>女</v>
      </c>
      <c r="D1629" s="2" t="str">
        <f>"1997-08-10"</f>
        <v>1997-08-10</v>
      </c>
    </row>
    <row r="1630" spans="1:4" ht="15.75" customHeight="1" x14ac:dyDescent="0.2">
      <c r="A1630" s="2" t="s">
        <v>44</v>
      </c>
      <c r="B1630" s="2" t="str">
        <f>"李飞"</f>
        <v>李飞</v>
      </c>
      <c r="C1630" s="2" t="str">
        <f>"女"</f>
        <v>女</v>
      </c>
      <c r="D1630" s="2" t="str">
        <f>"1987-03-11"</f>
        <v>1987-03-11</v>
      </c>
    </row>
    <row r="1631" spans="1:4" ht="15.75" customHeight="1" x14ac:dyDescent="0.2">
      <c r="A1631" s="2" t="s">
        <v>8</v>
      </c>
      <c r="B1631" s="2" t="str">
        <f>"周晓玲"</f>
        <v>周晓玲</v>
      </c>
      <c r="C1631" s="2" t="str">
        <f>"女"</f>
        <v>女</v>
      </c>
      <c r="D1631" s="2" t="str">
        <f>"1997-08-28"</f>
        <v>1997-08-28</v>
      </c>
    </row>
    <row r="1632" spans="1:4" ht="15.75" customHeight="1" x14ac:dyDescent="0.2">
      <c r="A1632" s="2" t="s">
        <v>23</v>
      </c>
      <c r="B1632" s="2" t="str">
        <f>"罗锭"</f>
        <v>罗锭</v>
      </c>
      <c r="C1632" s="2" t="str">
        <f>"男"</f>
        <v>男</v>
      </c>
      <c r="D1632" s="2" t="str">
        <f>"1997-10-11"</f>
        <v>1997-10-11</v>
      </c>
    </row>
    <row r="1633" spans="1:4" ht="15.75" customHeight="1" x14ac:dyDescent="0.2">
      <c r="A1633" s="2" t="s">
        <v>12</v>
      </c>
      <c r="B1633" s="2" t="str">
        <f>"田儒龙"</f>
        <v>田儒龙</v>
      </c>
      <c r="C1633" s="2" t="str">
        <f>"男"</f>
        <v>男</v>
      </c>
      <c r="D1633" s="2" t="str">
        <f>"1988-06-01"</f>
        <v>1988-06-01</v>
      </c>
    </row>
    <row r="1634" spans="1:4" ht="15.75" customHeight="1" x14ac:dyDescent="0.2">
      <c r="A1634" s="2" t="s">
        <v>55</v>
      </c>
      <c r="B1634" s="2" t="str">
        <f>"王珊"</f>
        <v>王珊</v>
      </c>
      <c r="C1634" s="2" t="str">
        <f>"女"</f>
        <v>女</v>
      </c>
      <c r="D1634" s="2" t="str">
        <f>"1995-01-17"</f>
        <v>1995-01-17</v>
      </c>
    </row>
    <row r="1635" spans="1:4" ht="15.75" customHeight="1" x14ac:dyDescent="0.2">
      <c r="A1635" s="2" t="s">
        <v>44</v>
      </c>
      <c r="B1635" s="2" t="str">
        <f>"郭存意"</f>
        <v>郭存意</v>
      </c>
      <c r="C1635" s="2" t="str">
        <f>"男"</f>
        <v>男</v>
      </c>
      <c r="D1635" s="2" t="str">
        <f>"1990-01-18"</f>
        <v>1990-01-18</v>
      </c>
    </row>
    <row r="1636" spans="1:4" ht="15.75" customHeight="1" x14ac:dyDescent="0.2">
      <c r="A1636" s="2" t="s">
        <v>42</v>
      </c>
      <c r="B1636" s="2" t="str">
        <f>"毛强"</f>
        <v>毛强</v>
      </c>
      <c r="C1636" s="2" t="str">
        <f>"男"</f>
        <v>男</v>
      </c>
      <c r="D1636" s="2" t="str">
        <f>"1986-01-27"</f>
        <v>1986-01-27</v>
      </c>
    </row>
    <row r="1637" spans="1:4" ht="15.75" customHeight="1" x14ac:dyDescent="0.2">
      <c r="A1637" s="2" t="s">
        <v>45</v>
      </c>
      <c r="B1637" s="2" t="str">
        <f>"李东杰"</f>
        <v>李东杰</v>
      </c>
      <c r="C1637" s="2" t="str">
        <f>"男"</f>
        <v>男</v>
      </c>
      <c r="D1637" s="2" t="str">
        <f>"1992-04-17"</f>
        <v>1992-04-17</v>
      </c>
    </row>
    <row r="1638" spans="1:4" ht="15.75" customHeight="1" x14ac:dyDescent="0.2">
      <c r="A1638" s="2" t="s">
        <v>65</v>
      </c>
      <c r="B1638" s="2" t="str">
        <f>"熊羿"</f>
        <v>熊羿</v>
      </c>
      <c r="C1638" s="2" t="str">
        <f>"女"</f>
        <v>女</v>
      </c>
      <c r="D1638" s="2" t="str">
        <f>"1994-04-12"</f>
        <v>1994-04-12</v>
      </c>
    </row>
    <row r="1639" spans="1:4" ht="15.75" customHeight="1" x14ac:dyDescent="0.2">
      <c r="A1639" s="2" t="s">
        <v>70</v>
      </c>
      <c r="B1639" s="2" t="str">
        <f>"赵逸珂"</f>
        <v>赵逸珂</v>
      </c>
      <c r="C1639" s="2" t="str">
        <f>"男"</f>
        <v>男</v>
      </c>
      <c r="D1639" s="2" t="str">
        <f>"1994-02-21"</f>
        <v>1994-02-21</v>
      </c>
    </row>
    <row r="1640" spans="1:4" ht="15.75" customHeight="1" x14ac:dyDescent="0.2">
      <c r="A1640" s="2" t="s">
        <v>30</v>
      </c>
      <c r="B1640" s="2" t="str">
        <f>"向青霞"</f>
        <v>向青霞</v>
      </c>
      <c r="C1640" s="2" t="str">
        <f>"女"</f>
        <v>女</v>
      </c>
      <c r="D1640" s="2" t="str">
        <f>"1990-11-01"</f>
        <v>1990-11-01</v>
      </c>
    </row>
    <row r="1641" spans="1:4" ht="15.75" customHeight="1" x14ac:dyDescent="0.2">
      <c r="A1641" s="2" t="s">
        <v>14</v>
      </c>
      <c r="B1641" s="2" t="str">
        <f>"彭莘"</f>
        <v>彭莘</v>
      </c>
      <c r="C1641" s="2" t="str">
        <f>"男"</f>
        <v>男</v>
      </c>
      <c r="D1641" s="2" t="str">
        <f>"1993-01-13"</f>
        <v>1993-01-13</v>
      </c>
    </row>
    <row r="1642" spans="1:4" ht="15.75" customHeight="1" x14ac:dyDescent="0.2">
      <c r="A1642" s="2" t="s">
        <v>55</v>
      </c>
      <c r="B1642" s="2" t="str">
        <f>"符前蔚"</f>
        <v>符前蔚</v>
      </c>
      <c r="C1642" s="2" t="str">
        <f>"男"</f>
        <v>男</v>
      </c>
      <c r="D1642" s="2" t="str">
        <f>"1994-10-09"</f>
        <v>1994-10-09</v>
      </c>
    </row>
    <row r="1643" spans="1:4" ht="15.75" customHeight="1" x14ac:dyDescent="0.2">
      <c r="A1643" s="2" t="s">
        <v>55</v>
      </c>
      <c r="B1643" s="2" t="str">
        <f>"严尚杰"</f>
        <v>严尚杰</v>
      </c>
      <c r="C1643" s="2" t="str">
        <f>"男"</f>
        <v>男</v>
      </c>
      <c r="D1643" s="2" t="str">
        <f>"1995-04-28"</f>
        <v>1995-04-28</v>
      </c>
    </row>
    <row r="1644" spans="1:4" ht="15.75" customHeight="1" x14ac:dyDescent="0.2">
      <c r="A1644" s="2" t="s">
        <v>24</v>
      </c>
      <c r="B1644" s="2" t="str">
        <f>"匡佩"</f>
        <v>匡佩</v>
      </c>
      <c r="C1644" s="2" t="str">
        <f>"女"</f>
        <v>女</v>
      </c>
      <c r="D1644" s="2" t="str">
        <f>"1992-08-01"</f>
        <v>1992-08-01</v>
      </c>
    </row>
    <row r="1645" spans="1:4" ht="15.75" customHeight="1" x14ac:dyDescent="0.2">
      <c r="A1645" s="2" t="s">
        <v>61</v>
      </c>
      <c r="B1645" s="2" t="str">
        <f>"刘桢靖"</f>
        <v>刘桢靖</v>
      </c>
      <c r="C1645" s="2" t="str">
        <f>"男"</f>
        <v>男</v>
      </c>
      <c r="D1645" s="2" t="str">
        <f>"1996-10-22"</f>
        <v>1996-10-22</v>
      </c>
    </row>
    <row r="1646" spans="1:4" ht="15.75" customHeight="1" x14ac:dyDescent="0.2">
      <c r="A1646" s="2" t="s">
        <v>32</v>
      </c>
      <c r="B1646" s="2" t="str">
        <f>"周小煜"</f>
        <v>周小煜</v>
      </c>
      <c r="C1646" s="2" t="str">
        <f>"女"</f>
        <v>女</v>
      </c>
      <c r="D1646" s="2" t="str">
        <f>"1991-01-08"</f>
        <v>1991-01-08</v>
      </c>
    </row>
    <row r="1647" spans="1:4" ht="15.75" customHeight="1" x14ac:dyDescent="0.2">
      <c r="A1647" s="2" t="s">
        <v>18</v>
      </c>
      <c r="B1647" s="2" t="str">
        <f>"王柳子"</f>
        <v>王柳子</v>
      </c>
      <c r="C1647" s="2" t="str">
        <f>"女"</f>
        <v>女</v>
      </c>
      <c r="D1647" s="2" t="str">
        <f>"1993-09-04"</f>
        <v>1993-09-04</v>
      </c>
    </row>
    <row r="1648" spans="1:4" ht="15.75" customHeight="1" x14ac:dyDescent="0.2">
      <c r="A1648" s="2" t="s">
        <v>14</v>
      </c>
      <c r="B1648" s="2" t="str">
        <f>"江雪云"</f>
        <v>江雪云</v>
      </c>
      <c r="C1648" s="2" t="str">
        <f>"女"</f>
        <v>女</v>
      </c>
      <c r="D1648" s="2" t="str">
        <f>"1992-10-07"</f>
        <v>1992-10-07</v>
      </c>
    </row>
    <row r="1649" spans="1:4" ht="15.75" customHeight="1" x14ac:dyDescent="0.2">
      <c r="A1649" s="2" t="s">
        <v>13</v>
      </c>
      <c r="B1649" s="2" t="str">
        <f>"周华翔"</f>
        <v>周华翔</v>
      </c>
      <c r="C1649" s="2" t="str">
        <f>"男"</f>
        <v>男</v>
      </c>
      <c r="D1649" s="2" t="str">
        <f>"1991-03-11"</f>
        <v>1991-03-11</v>
      </c>
    </row>
    <row r="1650" spans="1:4" ht="15.75" customHeight="1" x14ac:dyDescent="0.2">
      <c r="A1650" s="2" t="s">
        <v>12</v>
      </c>
      <c r="B1650" s="2" t="str">
        <f>"张鑫"</f>
        <v>张鑫</v>
      </c>
      <c r="C1650" s="2" t="str">
        <f>"女"</f>
        <v>女</v>
      </c>
      <c r="D1650" s="2" t="str">
        <f>"1990-11-01"</f>
        <v>1990-11-01</v>
      </c>
    </row>
    <row r="1651" spans="1:4" ht="15.75" customHeight="1" x14ac:dyDescent="0.2">
      <c r="A1651" s="2" t="s">
        <v>40</v>
      </c>
      <c r="B1651" s="2" t="str">
        <f>"任思荣"</f>
        <v>任思荣</v>
      </c>
      <c r="C1651" s="2" t="str">
        <f>"女"</f>
        <v>女</v>
      </c>
      <c r="D1651" s="2" t="str">
        <f>"1993-09-22"</f>
        <v>1993-09-22</v>
      </c>
    </row>
    <row r="1652" spans="1:4" ht="15.75" customHeight="1" x14ac:dyDescent="0.2">
      <c r="A1652" s="2" t="s">
        <v>22</v>
      </c>
      <c r="B1652" s="2" t="str">
        <f>"王天骄"</f>
        <v>王天骄</v>
      </c>
      <c r="C1652" s="2" t="str">
        <f>"女"</f>
        <v>女</v>
      </c>
      <c r="D1652" s="2" t="str">
        <f>"1992-11-02"</f>
        <v>1992-11-02</v>
      </c>
    </row>
    <row r="1653" spans="1:4" ht="15.75" customHeight="1" x14ac:dyDescent="0.2">
      <c r="A1653" s="2" t="s">
        <v>66</v>
      </c>
      <c r="B1653" s="2" t="str">
        <f>"曾奇锋"</f>
        <v>曾奇锋</v>
      </c>
      <c r="C1653" s="2" t="str">
        <f>"男"</f>
        <v>男</v>
      </c>
      <c r="D1653" s="2" t="str">
        <f>"1994-10-14"</f>
        <v>1994-10-14</v>
      </c>
    </row>
    <row r="1654" spans="1:4" ht="15.75" customHeight="1" x14ac:dyDescent="0.2">
      <c r="A1654" s="2" t="s">
        <v>13</v>
      </c>
      <c r="B1654" s="2" t="str">
        <f>"王珏"</f>
        <v>王珏</v>
      </c>
      <c r="C1654" s="2" t="str">
        <f>"男"</f>
        <v>男</v>
      </c>
      <c r="D1654" s="2" t="str">
        <f>"1997-10-26"</f>
        <v>1997-10-26</v>
      </c>
    </row>
    <row r="1655" spans="1:4" ht="15.75" customHeight="1" x14ac:dyDescent="0.2">
      <c r="A1655" s="2" t="s">
        <v>22</v>
      </c>
      <c r="B1655" s="2" t="str">
        <f>"罗智星"</f>
        <v>罗智星</v>
      </c>
      <c r="C1655" s="2" t="str">
        <f>"女"</f>
        <v>女</v>
      </c>
      <c r="D1655" s="2" t="str">
        <f>"1999-05-20"</f>
        <v>1999-05-20</v>
      </c>
    </row>
    <row r="1656" spans="1:4" ht="15.75" customHeight="1" x14ac:dyDescent="0.2">
      <c r="A1656" s="2" t="s">
        <v>36</v>
      </c>
      <c r="B1656" s="2" t="str">
        <f>"田潇"</f>
        <v>田潇</v>
      </c>
      <c r="C1656" s="2" t="str">
        <f>"女"</f>
        <v>女</v>
      </c>
      <c r="D1656" s="2" t="str">
        <f>"1998-01-12"</f>
        <v>1998-01-12</v>
      </c>
    </row>
    <row r="1657" spans="1:4" ht="15.75" customHeight="1" x14ac:dyDescent="0.2">
      <c r="A1657" s="2" t="s">
        <v>8</v>
      </c>
      <c r="B1657" s="2" t="str">
        <f>"覃韬"</f>
        <v>覃韬</v>
      </c>
      <c r="C1657" s="2" t="str">
        <f>"男"</f>
        <v>男</v>
      </c>
      <c r="D1657" s="2" t="str">
        <f>"1997-09-28"</f>
        <v>1997-09-28</v>
      </c>
    </row>
    <row r="1658" spans="1:4" ht="15.75" customHeight="1" x14ac:dyDescent="0.2">
      <c r="A1658" s="2" t="s">
        <v>40</v>
      </c>
      <c r="B1658" s="2" t="str">
        <f>"刘菁"</f>
        <v>刘菁</v>
      </c>
      <c r="C1658" s="2" t="str">
        <f>"女"</f>
        <v>女</v>
      </c>
      <c r="D1658" s="2" t="str">
        <f>"1995-12-01"</f>
        <v>1995-12-01</v>
      </c>
    </row>
    <row r="1659" spans="1:4" ht="15.75" customHeight="1" x14ac:dyDescent="0.2">
      <c r="A1659" s="2" t="s">
        <v>12</v>
      </c>
      <c r="B1659" s="2" t="str">
        <f>"李麟"</f>
        <v>李麟</v>
      </c>
      <c r="C1659" s="2" t="str">
        <f>"女"</f>
        <v>女</v>
      </c>
      <c r="D1659" s="2" t="str">
        <f>"1986-10-27"</f>
        <v>1986-10-27</v>
      </c>
    </row>
    <row r="1660" spans="1:4" ht="15.75" customHeight="1" x14ac:dyDescent="0.2">
      <c r="A1660" s="2" t="s">
        <v>64</v>
      </c>
      <c r="B1660" s="2" t="str">
        <f>"张裕子"</f>
        <v>张裕子</v>
      </c>
      <c r="C1660" s="2" t="str">
        <f>"女"</f>
        <v>女</v>
      </c>
      <c r="D1660" s="2" t="str">
        <f>"1995-11-03"</f>
        <v>1995-11-03</v>
      </c>
    </row>
    <row r="1661" spans="1:4" ht="15.75" customHeight="1" x14ac:dyDescent="0.2">
      <c r="A1661" s="2" t="s">
        <v>55</v>
      </c>
      <c r="B1661" s="2" t="str">
        <f>"黄骏"</f>
        <v>黄骏</v>
      </c>
      <c r="C1661" s="2" t="str">
        <f>"女"</f>
        <v>女</v>
      </c>
      <c r="D1661" s="2" t="str">
        <f>"1995-05-21"</f>
        <v>1995-05-21</v>
      </c>
    </row>
    <row r="1662" spans="1:4" ht="15.75" customHeight="1" x14ac:dyDescent="0.2">
      <c r="A1662" s="2" t="s">
        <v>20</v>
      </c>
      <c r="B1662" s="2" t="str">
        <f>"阳思依"</f>
        <v>阳思依</v>
      </c>
      <c r="C1662" s="2" t="str">
        <f>"男"</f>
        <v>男</v>
      </c>
      <c r="D1662" s="2" t="str">
        <f>"1997-02-20"</f>
        <v>1997-02-20</v>
      </c>
    </row>
    <row r="1663" spans="1:4" ht="15.75" customHeight="1" x14ac:dyDescent="0.2">
      <c r="A1663" s="2" t="s">
        <v>28</v>
      </c>
      <c r="B1663" s="2" t="str">
        <f>"何秋南"</f>
        <v>何秋南</v>
      </c>
      <c r="C1663" s="2" t="str">
        <f>"男"</f>
        <v>男</v>
      </c>
      <c r="D1663" s="2" t="str">
        <f>"1992-10-12"</f>
        <v>1992-10-12</v>
      </c>
    </row>
    <row r="1664" spans="1:4" ht="15.75" customHeight="1" x14ac:dyDescent="0.2">
      <c r="A1664" s="2" t="s">
        <v>73</v>
      </c>
      <c r="B1664" s="2" t="str">
        <f>"陈琳"</f>
        <v>陈琳</v>
      </c>
      <c r="C1664" s="2" t="str">
        <f>"女"</f>
        <v>女</v>
      </c>
      <c r="D1664" s="2" t="str">
        <f>"1997-11-05"</f>
        <v>1997-11-05</v>
      </c>
    </row>
    <row r="1665" spans="1:4" ht="15.75" customHeight="1" x14ac:dyDescent="0.2">
      <c r="A1665" s="2" t="s">
        <v>22</v>
      </c>
      <c r="B1665" s="2" t="str">
        <f>"高恩"</f>
        <v>高恩</v>
      </c>
      <c r="C1665" s="2" t="str">
        <f>"男"</f>
        <v>男</v>
      </c>
      <c r="D1665" s="2" t="str">
        <f>"1998-02-07"</f>
        <v>1998-02-07</v>
      </c>
    </row>
    <row r="1666" spans="1:4" ht="15.75" customHeight="1" x14ac:dyDescent="0.2">
      <c r="A1666" s="2" t="s">
        <v>70</v>
      </c>
      <c r="B1666" s="2" t="str">
        <f>"苏文冰"</f>
        <v>苏文冰</v>
      </c>
      <c r="C1666" s="2" t="str">
        <f>"女"</f>
        <v>女</v>
      </c>
      <c r="D1666" s="2" t="str">
        <f>"1998-04-08"</f>
        <v>1998-04-08</v>
      </c>
    </row>
    <row r="1667" spans="1:4" ht="15.75" customHeight="1" x14ac:dyDescent="0.2">
      <c r="A1667" s="2" t="s">
        <v>24</v>
      </c>
      <c r="B1667" s="2" t="str">
        <f>" 陈晶晶"</f>
        <v xml:space="preserve"> 陈晶晶</v>
      </c>
      <c r="C1667" s="2" t="str">
        <f>"女"</f>
        <v>女</v>
      </c>
      <c r="D1667" s="2" t="str">
        <f>"1988-10-04"</f>
        <v>1988-10-04</v>
      </c>
    </row>
    <row r="1668" spans="1:4" ht="15.75" customHeight="1" x14ac:dyDescent="0.2">
      <c r="A1668" s="2" t="s">
        <v>58</v>
      </c>
      <c r="B1668" s="2" t="str">
        <f>"胡顺"</f>
        <v>胡顺</v>
      </c>
      <c r="C1668" s="2" t="str">
        <f>"女"</f>
        <v>女</v>
      </c>
      <c r="D1668" s="2" t="str">
        <f>"1998-09-27"</f>
        <v>1998-09-27</v>
      </c>
    </row>
    <row r="1669" spans="1:4" ht="15.75" customHeight="1" x14ac:dyDescent="0.2">
      <c r="A1669" s="2" t="s">
        <v>56</v>
      </c>
      <c r="B1669" s="2" t="str">
        <f>"莫雯"</f>
        <v>莫雯</v>
      </c>
      <c r="C1669" s="2" t="str">
        <f>"女"</f>
        <v>女</v>
      </c>
      <c r="D1669" s="2" t="str">
        <f>"1997-11-08"</f>
        <v>1997-11-08</v>
      </c>
    </row>
    <row r="1670" spans="1:4" ht="15.75" customHeight="1" x14ac:dyDescent="0.2">
      <c r="A1670" s="2" t="s">
        <v>28</v>
      </c>
      <c r="B1670" s="2" t="str">
        <f>"陈肖潇"</f>
        <v>陈肖潇</v>
      </c>
      <c r="C1670" s="2" t="str">
        <f>"女"</f>
        <v>女</v>
      </c>
      <c r="D1670" s="2" t="str">
        <f>"1999-09-28"</f>
        <v>1999-09-28</v>
      </c>
    </row>
    <row r="1671" spans="1:4" ht="15.75" customHeight="1" x14ac:dyDescent="0.2">
      <c r="A1671" s="2" t="s">
        <v>63</v>
      </c>
      <c r="B1671" s="2" t="str">
        <f>"周志明"</f>
        <v>周志明</v>
      </c>
      <c r="C1671" s="2" t="str">
        <f>"男"</f>
        <v>男</v>
      </c>
      <c r="D1671" s="2" t="str">
        <f>"1995-11-02"</f>
        <v>1995-11-02</v>
      </c>
    </row>
    <row r="1672" spans="1:4" ht="15.75" customHeight="1" x14ac:dyDescent="0.2">
      <c r="A1672" s="2" t="s">
        <v>41</v>
      </c>
      <c r="B1672" s="2" t="str">
        <f>"陈浪"</f>
        <v>陈浪</v>
      </c>
      <c r="C1672" s="2" t="str">
        <f>"男"</f>
        <v>男</v>
      </c>
      <c r="D1672" s="2" t="str">
        <f>"1996-06-13"</f>
        <v>1996-06-13</v>
      </c>
    </row>
    <row r="1673" spans="1:4" ht="15.75" customHeight="1" x14ac:dyDescent="0.2">
      <c r="A1673" s="2" t="s">
        <v>58</v>
      </c>
      <c r="B1673" s="2" t="str">
        <f>"李亚"</f>
        <v>李亚</v>
      </c>
      <c r="C1673" s="2" t="str">
        <f>"女"</f>
        <v>女</v>
      </c>
      <c r="D1673" s="2" t="str">
        <f>"1994-11-21"</f>
        <v>1994-11-21</v>
      </c>
    </row>
    <row r="1674" spans="1:4" ht="15.75" customHeight="1" x14ac:dyDescent="0.2">
      <c r="A1674" s="2" t="s">
        <v>65</v>
      </c>
      <c r="B1674" s="2" t="str">
        <f>"马利"</f>
        <v>马利</v>
      </c>
      <c r="C1674" s="2" t="str">
        <f>"女"</f>
        <v>女</v>
      </c>
      <c r="D1674" s="2" t="str">
        <f>"1991-10-28"</f>
        <v>1991-10-28</v>
      </c>
    </row>
    <row r="1675" spans="1:4" ht="15.75" customHeight="1" x14ac:dyDescent="0.2">
      <c r="A1675" s="2" t="s">
        <v>29</v>
      </c>
      <c r="B1675" s="2" t="str">
        <f>"张浈晨"</f>
        <v>张浈晨</v>
      </c>
      <c r="C1675" s="2" t="str">
        <f>"女"</f>
        <v>女</v>
      </c>
      <c r="D1675" s="2" t="str">
        <f>"1996-04-01"</f>
        <v>1996-04-01</v>
      </c>
    </row>
    <row r="1676" spans="1:4" ht="15.75" customHeight="1" x14ac:dyDescent="0.2">
      <c r="A1676" s="2" t="s">
        <v>23</v>
      </c>
      <c r="B1676" s="2" t="str">
        <f>"刘杰"</f>
        <v>刘杰</v>
      </c>
      <c r="C1676" s="2" t="str">
        <f>"男"</f>
        <v>男</v>
      </c>
      <c r="D1676" s="2" t="str">
        <f>"1994-10-20"</f>
        <v>1994-10-20</v>
      </c>
    </row>
    <row r="1677" spans="1:4" ht="15.75" customHeight="1" x14ac:dyDescent="0.2">
      <c r="A1677" s="2" t="s">
        <v>12</v>
      </c>
      <c r="B1677" s="2" t="str">
        <f>"李志诚"</f>
        <v>李志诚</v>
      </c>
      <c r="C1677" s="2" t="str">
        <f>"男"</f>
        <v>男</v>
      </c>
      <c r="D1677" s="2" t="str">
        <f>"1993-09-08"</f>
        <v>1993-09-08</v>
      </c>
    </row>
    <row r="1678" spans="1:4" ht="15.75" customHeight="1" x14ac:dyDescent="0.2">
      <c r="A1678" s="2" t="s">
        <v>50</v>
      </c>
      <c r="B1678" s="2" t="str">
        <f>"董杨林"</f>
        <v>董杨林</v>
      </c>
      <c r="C1678" s="2" t="str">
        <f>"女"</f>
        <v>女</v>
      </c>
      <c r="D1678" s="2" t="str">
        <f>"1999-06-29"</f>
        <v>1999-06-29</v>
      </c>
    </row>
    <row r="1679" spans="1:4" ht="15.75" customHeight="1" x14ac:dyDescent="0.2">
      <c r="A1679" s="2" t="s">
        <v>20</v>
      </c>
      <c r="B1679" s="2" t="str">
        <f>"王童"</f>
        <v>王童</v>
      </c>
      <c r="C1679" s="2" t="str">
        <f>"男"</f>
        <v>男</v>
      </c>
      <c r="D1679" s="2" t="str">
        <f>"1993-07-28"</f>
        <v>1993-07-28</v>
      </c>
    </row>
    <row r="1680" spans="1:4" ht="15.75" customHeight="1" x14ac:dyDescent="0.2">
      <c r="A1680" s="2" t="s">
        <v>15</v>
      </c>
      <c r="B1680" s="2" t="str">
        <f>"裴钊"</f>
        <v>裴钊</v>
      </c>
      <c r="C1680" s="2" t="str">
        <f>"男"</f>
        <v>男</v>
      </c>
      <c r="D1680" s="2" t="str">
        <f>"1999-06-17"</f>
        <v>1999-06-17</v>
      </c>
    </row>
    <row r="1681" spans="1:4" ht="15.75" customHeight="1" x14ac:dyDescent="0.2">
      <c r="A1681" s="2" t="s">
        <v>31</v>
      </c>
      <c r="B1681" s="2" t="str">
        <f>"向河媛"</f>
        <v>向河媛</v>
      </c>
      <c r="C1681" s="2" t="str">
        <f>"女"</f>
        <v>女</v>
      </c>
      <c r="D1681" s="2" t="str">
        <f>"1999-05-11"</f>
        <v>1999-05-11</v>
      </c>
    </row>
    <row r="1682" spans="1:4" ht="15.75" customHeight="1" x14ac:dyDescent="0.2">
      <c r="A1682" s="2" t="s">
        <v>36</v>
      </c>
      <c r="B1682" s="2" t="str">
        <f>"粟昱"</f>
        <v>粟昱</v>
      </c>
      <c r="C1682" s="2" t="str">
        <f>"女"</f>
        <v>女</v>
      </c>
      <c r="D1682" s="2" t="str">
        <f>"1995-10-10"</f>
        <v>1995-10-10</v>
      </c>
    </row>
    <row r="1683" spans="1:4" ht="15.75" customHeight="1" x14ac:dyDescent="0.2">
      <c r="A1683" s="2" t="s">
        <v>55</v>
      </c>
      <c r="B1683" s="2" t="str">
        <f>"熊泽颖"</f>
        <v>熊泽颖</v>
      </c>
      <c r="C1683" s="2" t="str">
        <f>"女"</f>
        <v>女</v>
      </c>
      <c r="D1683" s="2" t="str">
        <f>"1994-06-04"</f>
        <v>1994-06-04</v>
      </c>
    </row>
    <row r="1684" spans="1:4" ht="15.75" customHeight="1" x14ac:dyDescent="0.2">
      <c r="A1684" s="2" t="s">
        <v>13</v>
      </c>
      <c r="B1684" s="2" t="str">
        <f>"曾小盼"</f>
        <v>曾小盼</v>
      </c>
      <c r="C1684" s="2" t="str">
        <f>"女"</f>
        <v>女</v>
      </c>
      <c r="D1684" s="2" t="str">
        <f>"1998-05-02"</f>
        <v>1998-05-02</v>
      </c>
    </row>
    <row r="1685" spans="1:4" ht="15.75" customHeight="1" x14ac:dyDescent="0.2">
      <c r="A1685" s="2" t="s">
        <v>55</v>
      </c>
      <c r="B1685" s="2" t="str">
        <f>"林小钰"</f>
        <v>林小钰</v>
      </c>
      <c r="C1685" s="2" t="str">
        <f>"女"</f>
        <v>女</v>
      </c>
      <c r="D1685" s="2" t="str">
        <f>"1995-11-12"</f>
        <v>1995-11-12</v>
      </c>
    </row>
    <row r="1686" spans="1:4" ht="15.75" customHeight="1" x14ac:dyDescent="0.2">
      <c r="A1686" s="2" t="s">
        <v>25</v>
      </c>
      <c r="B1686" s="2" t="str">
        <f>"聂麟"</f>
        <v>聂麟</v>
      </c>
      <c r="C1686" s="2" t="str">
        <f>"男"</f>
        <v>男</v>
      </c>
      <c r="D1686" s="2" t="str">
        <f>"1996-05-17"</f>
        <v>1996-05-17</v>
      </c>
    </row>
    <row r="1687" spans="1:4" ht="15.75" customHeight="1" x14ac:dyDescent="0.2">
      <c r="A1687" s="2" t="s">
        <v>61</v>
      </c>
      <c r="B1687" s="2" t="str">
        <f>"卢木森"</f>
        <v>卢木森</v>
      </c>
      <c r="C1687" s="2" t="str">
        <f>"男"</f>
        <v>男</v>
      </c>
      <c r="D1687" s="2" t="str">
        <f>"1996-08-25"</f>
        <v>1996-08-25</v>
      </c>
    </row>
    <row r="1688" spans="1:4" ht="15.75" customHeight="1" x14ac:dyDescent="0.2">
      <c r="A1688" s="2" t="s">
        <v>20</v>
      </c>
      <c r="B1688" s="2" t="str">
        <f>"何阳"</f>
        <v>何阳</v>
      </c>
      <c r="C1688" s="2" t="str">
        <f>"男"</f>
        <v>男</v>
      </c>
      <c r="D1688" s="2" t="str">
        <f>"1997-06-14"</f>
        <v>1997-06-14</v>
      </c>
    </row>
    <row r="1689" spans="1:4" ht="15.75" customHeight="1" x14ac:dyDescent="0.2">
      <c r="A1689" s="2" t="s">
        <v>57</v>
      </c>
      <c r="B1689" s="2" t="str">
        <f>"金惠琳"</f>
        <v>金惠琳</v>
      </c>
      <c r="C1689" s="2" t="str">
        <f>"女"</f>
        <v>女</v>
      </c>
      <c r="D1689" s="2" t="str">
        <f>"1997-09-26"</f>
        <v>1997-09-26</v>
      </c>
    </row>
    <row r="1690" spans="1:4" ht="15.75" customHeight="1" x14ac:dyDescent="0.2">
      <c r="A1690" s="2" t="s">
        <v>58</v>
      </c>
      <c r="B1690" s="2" t="str">
        <f>"肖丁玲"</f>
        <v>肖丁玲</v>
      </c>
      <c r="C1690" s="2" t="str">
        <f>"女"</f>
        <v>女</v>
      </c>
      <c r="D1690" s="2" t="str">
        <f>"1996-08-03"</f>
        <v>1996-08-03</v>
      </c>
    </row>
    <row r="1691" spans="1:4" ht="15.75" customHeight="1" x14ac:dyDescent="0.2">
      <c r="A1691" s="2" t="s">
        <v>22</v>
      </c>
      <c r="B1691" s="2" t="str">
        <f>"曾林雅"</f>
        <v>曾林雅</v>
      </c>
      <c r="C1691" s="2" t="str">
        <f>"女"</f>
        <v>女</v>
      </c>
      <c r="D1691" s="2" t="str">
        <f>"1998-12-21"</f>
        <v>1998-12-21</v>
      </c>
    </row>
    <row r="1692" spans="1:4" ht="15.75" customHeight="1" x14ac:dyDescent="0.2">
      <c r="A1692" s="2" t="s">
        <v>20</v>
      </c>
      <c r="B1692" s="2" t="str">
        <f>"钟吉威"</f>
        <v>钟吉威</v>
      </c>
      <c r="C1692" s="2" t="str">
        <f>"男"</f>
        <v>男</v>
      </c>
      <c r="D1692" s="2" t="str">
        <f>"1998-08-29"</f>
        <v>1998-08-29</v>
      </c>
    </row>
    <row r="1693" spans="1:4" ht="15.75" customHeight="1" x14ac:dyDescent="0.2">
      <c r="A1693" s="2" t="s">
        <v>42</v>
      </c>
      <c r="B1693" s="2" t="str">
        <f>"李永湖"</f>
        <v>李永湖</v>
      </c>
      <c r="C1693" s="2" t="str">
        <f>"女"</f>
        <v>女</v>
      </c>
      <c r="D1693" s="2" t="str">
        <f>"1987-11-12"</f>
        <v>1987-11-12</v>
      </c>
    </row>
    <row r="1694" spans="1:4" ht="15.75" customHeight="1" x14ac:dyDescent="0.2">
      <c r="A1694" s="2" t="s">
        <v>28</v>
      </c>
      <c r="B1694" s="2" t="str">
        <f>"朱鑫"</f>
        <v>朱鑫</v>
      </c>
      <c r="C1694" s="2" t="str">
        <f>"女"</f>
        <v>女</v>
      </c>
      <c r="D1694" s="2" t="str">
        <f>"1994-11-05"</f>
        <v>1994-11-05</v>
      </c>
    </row>
    <row r="1695" spans="1:4" ht="15.75" customHeight="1" x14ac:dyDescent="0.2">
      <c r="A1695" s="2" t="s">
        <v>20</v>
      </c>
      <c r="B1695" s="2" t="str">
        <f>"周绮睿"</f>
        <v>周绮睿</v>
      </c>
      <c r="C1695" s="2" t="str">
        <f>"女"</f>
        <v>女</v>
      </c>
      <c r="D1695" s="2" t="str">
        <f>"1996-01-07"</f>
        <v>1996-01-07</v>
      </c>
    </row>
    <row r="1696" spans="1:4" ht="15.75" customHeight="1" x14ac:dyDescent="0.2">
      <c r="A1696" s="2" t="s">
        <v>48</v>
      </c>
      <c r="B1696" s="2" t="str">
        <f>"钟勇"</f>
        <v>钟勇</v>
      </c>
      <c r="C1696" s="2" t="str">
        <f>"男"</f>
        <v>男</v>
      </c>
      <c r="D1696" s="2" t="str">
        <f>"1988-11-15"</f>
        <v>1988-11-15</v>
      </c>
    </row>
    <row r="1697" spans="1:4" ht="15.75" customHeight="1" x14ac:dyDescent="0.2">
      <c r="A1697" s="2" t="s">
        <v>70</v>
      </c>
      <c r="B1697" s="2" t="str">
        <f>"舒姣芮"</f>
        <v>舒姣芮</v>
      </c>
      <c r="C1697" s="2" t="str">
        <f>"女"</f>
        <v>女</v>
      </c>
      <c r="D1697" s="2" t="str">
        <f>"1995-08-09"</f>
        <v>1995-08-09</v>
      </c>
    </row>
    <row r="1698" spans="1:4" ht="15.75" customHeight="1" x14ac:dyDescent="0.2">
      <c r="A1698" s="2" t="s">
        <v>14</v>
      </c>
      <c r="B1698" s="2" t="str">
        <f>"陈诗蕾"</f>
        <v>陈诗蕾</v>
      </c>
      <c r="C1698" s="2" t="str">
        <f>"女"</f>
        <v>女</v>
      </c>
      <c r="D1698" s="2" t="str">
        <f>"1999-04-06"</f>
        <v>1999-04-06</v>
      </c>
    </row>
    <row r="1699" spans="1:4" ht="15.75" customHeight="1" x14ac:dyDescent="0.2">
      <c r="A1699" s="2" t="s">
        <v>26</v>
      </c>
      <c r="B1699" s="2" t="str">
        <f>"刘大绪"</f>
        <v>刘大绪</v>
      </c>
      <c r="C1699" s="2" t="str">
        <f>"男"</f>
        <v>男</v>
      </c>
      <c r="D1699" s="2" t="str">
        <f>"1995-06-06"</f>
        <v>1995-06-06</v>
      </c>
    </row>
    <row r="1700" spans="1:4" ht="15.75" customHeight="1" x14ac:dyDescent="0.2">
      <c r="A1700" s="2" t="s">
        <v>34</v>
      </c>
      <c r="B1700" s="2" t="str">
        <f>"张明"</f>
        <v>张明</v>
      </c>
      <c r="C1700" s="2" t="str">
        <f>"男"</f>
        <v>男</v>
      </c>
      <c r="D1700" s="2" t="str">
        <f>"1993-05-17"</f>
        <v>1993-05-17</v>
      </c>
    </row>
    <row r="1701" spans="1:4" ht="15.75" customHeight="1" x14ac:dyDescent="0.2">
      <c r="A1701" s="2" t="s">
        <v>14</v>
      </c>
      <c r="B1701" s="2" t="str">
        <f>"陈雅文"</f>
        <v>陈雅文</v>
      </c>
      <c r="C1701" s="2" t="str">
        <f>"女"</f>
        <v>女</v>
      </c>
      <c r="D1701" s="2" t="str">
        <f>"1996-02-01"</f>
        <v>1996-02-01</v>
      </c>
    </row>
    <row r="1702" spans="1:4" ht="15.75" customHeight="1" x14ac:dyDescent="0.2">
      <c r="A1702" s="2" t="s">
        <v>15</v>
      </c>
      <c r="B1702" s="2" t="str">
        <f>"屈祖德"</f>
        <v>屈祖德</v>
      </c>
      <c r="C1702" s="2" t="str">
        <f>"男"</f>
        <v>男</v>
      </c>
      <c r="D1702" s="2" t="str">
        <f>"1997-09-10"</f>
        <v>1997-09-10</v>
      </c>
    </row>
    <row r="1703" spans="1:4" ht="15.75" customHeight="1" x14ac:dyDescent="0.2">
      <c r="A1703" s="2" t="s">
        <v>13</v>
      </c>
      <c r="B1703" s="2" t="str">
        <f>"张磊"</f>
        <v>张磊</v>
      </c>
      <c r="C1703" s="2" t="str">
        <f>"男"</f>
        <v>男</v>
      </c>
      <c r="D1703" s="2" t="str">
        <f>"1986-10-05"</f>
        <v>1986-10-05</v>
      </c>
    </row>
    <row r="1704" spans="1:4" ht="15.75" customHeight="1" x14ac:dyDescent="0.2">
      <c r="A1704" s="2" t="s">
        <v>17</v>
      </c>
      <c r="B1704" s="2" t="str">
        <f>"刘正华"</f>
        <v>刘正华</v>
      </c>
      <c r="C1704" s="2" t="str">
        <f>"男"</f>
        <v>男</v>
      </c>
      <c r="D1704" s="2" t="str">
        <f>"1996-03-01"</f>
        <v>1996-03-01</v>
      </c>
    </row>
    <row r="1705" spans="1:4" ht="15.75" customHeight="1" x14ac:dyDescent="0.2">
      <c r="A1705" s="2" t="s">
        <v>44</v>
      </c>
      <c r="B1705" s="2" t="str">
        <f>"马韬"</f>
        <v>马韬</v>
      </c>
      <c r="C1705" s="2" t="str">
        <f>"男"</f>
        <v>男</v>
      </c>
      <c r="D1705" s="2" t="str">
        <f>"1987-10-12"</f>
        <v>1987-10-12</v>
      </c>
    </row>
    <row r="1706" spans="1:4" ht="15.75" customHeight="1" x14ac:dyDescent="0.2">
      <c r="A1706" s="2" t="s">
        <v>13</v>
      </c>
      <c r="B1706" s="2" t="str">
        <f>"梁意鑫"</f>
        <v>梁意鑫</v>
      </c>
      <c r="C1706" s="2" t="str">
        <f>"男"</f>
        <v>男</v>
      </c>
      <c r="D1706" s="2" t="str">
        <f>"1995-09-10"</f>
        <v>1995-09-10</v>
      </c>
    </row>
    <row r="1707" spans="1:4" ht="15.75" customHeight="1" x14ac:dyDescent="0.2">
      <c r="A1707" s="2" t="s">
        <v>55</v>
      </c>
      <c r="B1707" s="2" t="str">
        <f>"龙颖"</f>
        <v>龙颖</v>
      </c>
      <c r="C1707" s="2" t="str">
        <f>"女"</f>
        <v>女</v>
      </c>
      <c r="D1707" s="2" t="str">
        <f>"1992-06-10"</f>
        <v>1992-06-10</v>
      </c>
    </row>
    <row r="1708" spans="1:4" ht="15.75" customHeight="1" x14ac:dyDescent="0.2">
      <c r="A1708" s="2" t="s">
        <v>55</v>
      </c>
      <c r="B1708" s="2" t="str">
        <f>"张安琪"</f>
        <v>张安琪</v>
      </c>
      <c r="C1708" s="2" t="str">
        <f>"女"</f>
        <v>女</v>
      </c>
      <c r="D1708" s="2" t="str">
        <f>"1997-01-16"</f>
        <v>1997-01-16</v>
      </c>
    </row>
    <row r="1709" spans="1:4" ht="15.75" customHeight="1" x14ac:dyDescent="0.2">
      <c r="A1709" s="2" t="s">
        <v>30</v>
      </c>
      <c r="B1709" s="2" t="str">
        <f>"郑心怡"</f>
        <v>郑心怡</v>
      </c>
      <c r="C1709" s="2" t="str">
        <f>"女"</f>
        <v>女</v>
      </c>
      <c r="D1709" s="2" t="str">
        <f>"1993-06-03"</f>
        <v>1993-06-03</v>
      </c>
    </row>
    <row r="1710" spans="1:4" ht="15.75" customHeight="1" x14ac:dyDescent="0.2">
      <c r="A1710" s="2" t="s">
        <v>24</v>
      </c>
      <c r="B1710" s="2" t="str">
        <f>"申诗忆"</f>
        <v>申诗忆</v>
      </c>
      <c r="C1710" s="2" t="str">
        <f>"女"</f>
        <v>女</v>
      </c>
      <c r="D1710" s="2" t="str">
        <f>"1992-10-09"</f>
        <v>1992-10-09</v>
      </c>
    </row>
    <row r="1711" spans="1:4" ht="15.75" customHeight="1" x14ac:dyDescent="0.2">
      <c r="A1711" s="2" t="s">
        <v>26</v>
      </c>
      <c r="B1711" s="2" t="str">
        <f>"王亮"</f>
        <v>王亮</v>
      </c>
      <c r="C1711" s="2" t="str">
        <f>"男"</f>
        <v>男</v>
      </c>
      <c r="D1711" s="2" t="str">
        <f>"1993-08-18"</f>
        <v>1993-08-18</v>
      </c>
    </row>
    <row r="1712" spans="1:4" ht="15.75" customHeight="1" x14ac:dyDescent="0.2">
      <c r="A1712" s="2" t="s">
        <v>27</v>
      </c>
      <c r="B1712" s="2" t="str">
        <f>"徐晔璇"</f>
        <v>徐晔璇</v>
      </c>
      <c r="C1712" s="2" t="str">
        <f>"女"</f>
        <v>女</v>
      </c>
      <c r="D1712" s="2" t="str">
        <f>"2000-03-03"</f>
        <v>2000-03-03</v>
      </c>
    </row>
    <row r="1713" spans="1:4" ht="15.75" customHeight="1" x14ac:dyDescent="0.2">
      <c r="A1713" s="2" t="s">
        <v>63</v>
      </c>
      <c r="B1713" s="2" t="str">
        <f>"罗三山"</f>
        <v>罗三山</v>
      </c>
      <c r="C1713" s="2" t="str">
        <f>"男"</f>
        <v>男</v>
      </c>
      <c r="D1713" s="2" t="str">
        <f>"1995-05-18"</f>
        <v>1995-05-18</v>
      </c>
    </row>
    <row r="1714" spans="1:4" ht="15.75" customHeight="1" x14ac:dyDescent="0.2">
      <c r="A1714" s="2" t="s">
        <v>25</v>
      </c>
      <c r="B1714" s="2" t="str">
        <f>"陈曦"</f>
        <v>陈曦</v>
      </c>
      <c r="C1714" s="2" t="str">
        <f>"女"</f>
        <v>女</v>
      </c>
      <c r="D1714" s="2" t="str">
        <f>"1988-03-16"</f>
        <v>1988-03-16</v>
      </c>
    </row>
    <row r="1715" spans="1:4" ht="15.75" customHeight="1" x14ac:dyDescent="0.2">
      <c r="A1715" s="2" t="s">
        <v>22</v>
      </c>
      <c r="B1715" s="2" t="str">
        <f>"杨懿敏"</f>
        <v>杨懿敏</v>
      </c>
      <c r="C1715" s="2" t="str">
        <f>"女"</f>
        <v>女</v>
      </c>
      <c r="D1715" s="2" t="str">
        <f>"1998-12-06"</f>
        <v>1998-12-06</v>
      </c>
    </row>
    <row r="1716" spans="1:4" ht="15.75" customHeight="1" x14ac:dyDescent="0.2">
      <c r="A1716" s="2" t="s">
        <v>10</v>
      </c>
      <c r="B1716" s="2" t="str">
        <f>"钟汀"</f>
        <v>钟汀</v>
      </c>
      <c r="C1716" s="2" t="str">
        <f>"男"</f>
        <v>男</v>
      </c>
      <c r="D1716" s="2" t="str">
        <f>"1998-09-26"</f>
        <v>1998-09-26</v>
      </c>
    </row>
    <row r="1717" spans="1:4" ht="15.75" customHeight="1" x14ac:dyDescent="0.2">
      <c r="A1717" s="2" t="s">
        <v>15</v>
      </c>
      <c r="B1717" s="2" t="str">
        <f>"彭波"</f>
        <v>彭波</v>
      </c>
      <c r="C1717" s="2" t="str">
        <f>"男"</f>
        <v>男</v>
      </c>
      <c r="D1717" s="2" t="str">
        <f>"1998-05-02"</f>
        <v>1998-05-02</v>
      </c>
    </row>
    <row r="1718" spans="1:4" ht="15.75" customHeight="1" x14ac:dyDescent="0.2">
      <c r="A1718" s="2" t="s">
        <v>65</v>
      </c>
      <c r="B1718" s="2" t="str">
        <f>"宋腾"</f>
        <v>宋腾</v>
      </c>
      <c r="C1718" s="2" t="str">
        <f>"男"</f>
        <v>男</v>
      </c>
      <c r="D1718" s="2" t="str">
        <f>"1986-03-05"</f>
        <v>1986-03-05</v>
      </c>
    </row>
    <row r="1719" spans="1:4" ht="15.75" customHeight="1" x14ac:dyDescent="0.2">
      <c r="A1719" s="2" t="s">
        <v>54</v>
      </c>
      <c r="B1719" s="2" t="str">
        <f>"王斌斌"</f>
        <v>王斌斌</v>
      </c>
      <c r="C1719" s="2" t="str">
        <f>"男"</f>
        <v>男</v>
      </c>
      <c r="D1719" s="2" t="str">
        <f>"1993-02-24"</f>
        <v>1993-02-24</v>
      </c>
    </row>
    <row r="1720" spans="1:4" ht="15.75" customHeight="1" x14ac:dyDescent="0.2">
      <c r="A1720" s="2" t="s">
        <v>8</v>
      </c>
      <c r="B1720" s="2" t="str">
        <f>"曾明"</f>
        <v>曾明</v>
      </c>
      <c r="C1720" s="2" t="str">
        <f>"男"</f>
        <v>男</v>
      </c>
      <c r="D1720" s="2" t="str">
        <f>"1991-09-08"</f>
        <v>1991-09-08</v>
      </c>
    </row>
    <row r="1721" spans="1:4" ht="15.75" customHeight="1" x14ac:dyDescent="0.2">
      <c r="A1721" s="2" t="s">
        <v>16</v>
      </c>
      <c r="B1721" s="2" t="str">
        <f>"梁薇"</f>
        <v>梁薇</v>
      </c>
      <c r="C1721" s="2" t="str">
        <f>"女"</f>
        <v>女</v>
      </c>
      <c r="D1721" s="2" t="str">
        <f>"1994-10-23"</f>
        <v>1994-10-23</v>
      </c>
    </row>
    <row r="1722" spans="1:4" ht="15.75" customHeight="1" x14ac:dyDescent="0.2">
      <c r="A1722" s="2" t="s">
        <v>73</v>
      </c>
      <c r="B1722" s="2" t="str">
        <f>"郑欢"</f>
        <v>郑欢</v>
      </c>
      <c r="C1722" s="2" t="str">
        <f>"男"</f>
        <v>男</v>
      </c>
      <c r="D1722" s="2" t="str">
        <f>"1999-01-16"</f>
        <v>1999-01-16</v>
      </c>
    </row>
    <row r="1723" spans="1:4" ht="15.75" customHeight="1" x14ac:dyDescent="0.2">
      <c r="A1723" s="2" t="s">
        <v>11</v>
      </c>
      <c r="B1723" s="2" t="str">
        <f>"文智彬"</f>
        <v>文智彬</v>
      </c>
      <c r="C1723" s="2" t="str">
        <f>"男"</f>
        <v>男</v>
      </c>
      <c r="D1723" s="2" t="str">
        <f>"1995-08-07"</f>
        <v>1995-08-07</v>
      </c>
    </row>
    <row r="1724" spans="1:4" ht="15.75" customHeight="1" x14ac:dyDescent="0.2">
      <c r="A1724" s="2" t="s">
        <v>42</v>
      </c>
      <c r="B1724" s="2" t="str">
        <f>"李榕榕"</f>
        <v>李榕榕</v>
      </c>
      <c r="C1724" s="2" t="str">
        <f>"女"</f>
        <v>女</v>
      </c>
      <c r="D1724" s="2" t="str">
        <f>"1992-09-19"</f>
        <v>1992-09-19</v>
      </c>
    </row>
    <row r="1725" spans="1:4" ht="15.75" customHeight="1" x14ac:dyDescent="0.2">
      <c r="A1725" s="2" t="s">
        <v>18</v>
      </c>
      <c r="B1725" s="2" t="str">
        <f>"杨狄"</f>
        <v>杨狄</v>
      </c>
      <c r="C1725" s="2" t="str">
        <f>"女"</f>
        <v>女</v>
      </c>
      <c r="D1725" s="2" t="str">
        <f>"1995-12-14"</f>
        <v>1995-12-14</v>
      </c>
    </row>
    <row r="1726" spans="1:4" ht="15.75" customHeight="1" x14ac:dyDescent="0.2">
      <c r="A1726" s="2" t="s">
        <v>50</v>
      </c>
      <c r="B1726" s="2" t="str">
        <f>"帅柯"</f>
        <v>帅柯</v>
      </c>
      <c r="C1726" s="2" t="str">
        <f>"男"</f>
        <v>男</v>
      </c>
      <c r="D1726" s="2" t="str">
        <f>"1996-12-02"</f>
        <v>1996-12-02</v>
      </c>
    </row>
    <row r="1727" spans="1:4" ht="15.75" customHeight="1" x14ac:dyDescent="0.2">
      <c r="A1727" s="2" t="s">
        <v>52</v>
      </c>
      <c r="B1727" s="2" t="str">
        <f>"罗珊"</f>
        <v>罗珊</v>
      </c>
      <c r="C1727" s="2" t="str">
        <f>"女"</f>
        <v>女</v>
      </c>
      <c r="D1727" s="2" t="str">
        <f>"1988-12-22"</f>
        <v>1988-12-22</v>
      </c>
    </row>
    <row r="1728" spans="1:4" ht="15.75" customHeight="1" x14ac:dyDescent="0.2">
      <c r="A1728" s="2" t="s">
        <v>70</v>
      </c>
      <c r="B1728" s="2" t="str">
        <f>"曹传国"</f>
        <v>曹传国</v>
      </c>
      <c r="C1728" s="2" t="str">
        <f>"男"</f>
        <v>男</v>
      </c>
      <c r="D1728" s="2" t="str">
        <f>"1988-10-09"</f>
        <v>1988-10-09</v>
      </c>
    </row>
    <row r="1729" spans="1:4" ht="15.75" customHeight="1" x14ac:dyDescent="0.2">
      <c r="A1729" s="2" t="s">
        <v>60</v>
      </c>
      <c r="B1729" s="2" t="str">
        <f>"田奕嵩"</f>
        <v>田奕嵩</v>
      </c>
      <c r="C1729" s="2" t="str">
        <f>"男"</f>
        <v>男</v>
      </c>
      <c r="D1729" s="2" t="str">
        <f>"1998-04-03"</f>
        <v>1998-04-03</v>
      </c>
    </row>
    <row r="1730" spans="1:4" ht="15.75" customHeight="1" x14ac:dyDescent="0.2">
      <c r="A1730" s="2" t="s">
        <v>8</v>
      </c>
      <c r="B1730" s="2" t="str">
        <f>"文明"</f>
        <v>文明</v>
      </c>
      <c r="C1730" s="2" t="str">
        <f>"男"</f>
        <v>男</v>
      </c>
      <c r="D1730" s="2" t="str">
        <f>"1994-06-16"</f>
        <v>1994-06-16</v>
      </c>
    </row>
    <row r="1731" spans="1:4" ht="15.75" customHeight="1" x14ac:dyDescent="0.2">
      <c r="A1731" s="2" t="s">
        <v>20</v>
      </c>
      <c r="B1731" s="2" t="str">
        <f>"高宇航"</f>
        <v>高宇航</v>
      </c>
      <c r="C1731" s="2" t="str">
        <f>"男"</f>
        <v>男</v>
      </c>
      <c r="D1731" s="2" t="str">
        <f>"1997-03-29"</f>
        <v>1997-03-29</v>
      </c>
    </row>
    <row r="1732" spans="1:4" ht="15.75" customHeight="1" x14ac:dyDescent="0.2">
      <c r="A1732" s="2" t="s">
        <v>12</v>
      </c>
      <c r="B1732" s="2" t="str">
        <f>"李贝"</f>
        <v>李贝</v>
      </c>
      <c r="C1732" s="2" t="str">
        <f>"男"</f>
        <v>男</v>
      </c>
      <c r="D1732" s="2" t="str">
        <f>"1990-05-11"</f>
        <v>1990-05-11</v>
      </c>
    </row>
    <row r="1733" spans="1:4" ht="15.75" customHeight="1" x14ac:dyDescent="0.2">
      <c r="A1733" s="2" t="s">
        <v>30</v>
      </c>
      <c r="B1733" s="2" t="str">
        <f>"黄敏"</f>
        <v>黄敏</v>
      </c>
      <c r="C1733" s="2" t="str">
        <f>"女"</f>
        <v>女</v>
      </c>
      <c r="D1733" s="2" t="str">
        <f>"1996-11-26"</f>
        <v>1996-11-26</v>
      </c>
    </row>
    <row r="1734" spans="1:4" ht="15.75" customHeight="1" x14ac:dyDescent="0.2">
      <c r="A1734" s="2" t="s">
        <v>66</v>
      </c>
      <c r="B1734" s="2" t="str">
        <f>"毛艳"</f>
        <v>毛艳</v>
      </c>
      <c r="C1734" s="2" t="str">
        <f>"女"</f>
        <v>女</v>
      </c>
      <c r="D1734" s="2" t="str">
        <f>"1991-12-10"</f>
        <v>1991-12-10</v>
      </c>
    </row>
    <row r="1735" spans="1:4" ht="15.75" customHeight="1" x14ac:dyDescent="0.2">
      <c r="A1735" s="2" t="s">
        <v>14</v>
      </c>
      <c r="B1735" s="2" t="str">
        <f>"皮世坚"</f>
        <v>皮世坚</v>
      </c>
      <c r="C1735" s="2" t="str">
        <f>"男"</f>
        <v>男</v>
      </c>
      <c r="D1735" s="2" t="str">
        <f>"1990-04-26"</f>
        <v>1990-04-26</v>
      </c>
    </row>
    <row r="1736" spans="1:4" ht="15.75" customHeight="1" x14ac:dyDescent="0.2">
      <c r="A1736" s="2" t="s">
        <v>44</v>
      </c>
      <c r="B1736" s="2" t="str">
        <f>"刘颖"</f>
        <v>刘颖</v>
      </c>
      <c r="C1736" s="2" t="str">
        <f>"女"</f>
        <v>女</v>
      </c>
      <c r="D1736" s="2" t="str">
        <f>"1990-02-08"</f>
        <v>1990-02-08</v>
      </c>
    </row>
    <row r="1737" spans="1:4" ht="15.75" customHeight="1" x14ac:dyDescent="0.2">
      <c r="A1737" s="2" t="s">
        <v>34</v>
      </c>
      <c r="B1737" s="2" t="str">
        <f>"吴盼"</f>
        <v>吴盼</v>
      </c>
      <c r="C1737" s="2" t="str">
        <f>"男"</f>
        <v>男</v>
      </c>
      <c r="D1737" s="2" t="str">
        <f>"1996-10-18"</f>
        <v>1996-10-18</v>
      </c>
    </row>
    <row r="1738" spans="1:4" ht="15.75" customHeight="1" x14ac:dyDescent="0.2">
      <c r="A1738" s="2" t="s">
        <v>44</v>
      </c>
      <c r="B1738" s="2" t="str">
        <f>"谭茜子"</f>
        <v>谭茜子</v>
      </c>
      <c r="C1738" s="2" t="str">
        <f>"女"</f>
        <v>女</v>
      </c>
      <c r="D1738" s="2" t="str">
        <f>"1990-04-17"</f>
        <v>1990-04-17</v>
      </c>
    </row>
    <row r="1739" spans="1:4" ht="15.75" customHeight="1" x14ac:dyDescent="0.2">
      <c r="A1739" s="2" t="s">
        <v>20</v>
      </c>
      <c r="B1739" s="2" t="str">
        <f>"吴梦华"</f>
        <v>吴梦华</v>
      </c>
      <c r="C1739" s="2" t="str">
        <f>"女"</f>
        <v>女</v>
      </c>
      <c r="D1739" s="2" t="str">
        <f>"1999-06-07"</f>
        <v>1999-06-07</v>
      </c>
    </row>
    <row r="1740" spans="1:4" ht="15.75" customHeight="1" x14ac:dyDescent="0.2">
      <c r="A1740" s="2" t="s">
        <v>42</v>
      </c>
      <c r="B1740" s="2" t="str">
        <f>"朱鹏"</f>
        <v>朱鹏</v>
      </c>
      <c r="C1740" s="2" t="str">
        <f>"男"</f>
        <v>男</v>
      </c>
      <c r="D1740" s="2" t="str">
        <f>"1995-09-02"</f>
        <v>1995-09-02</v>
      </c>
    </row>
    <row r="1741" spans="1:4" ht="15.75" customHeight="1" x14ac:dyDescent="0.2">
      <c r="A1741" s="2" t="s">
        <v>18</v>
      </c>
      <c r="B1741" s="2" t="str">
        <f>"颜臻煦"</f>
        <v>颜臻煦</v>
      </c>
      <c r="C1741" s="2" t="str">
        <f>"女"</f>
        <v>女</v>
      </c>
      <c r="D1741" s="2" t="str">
        <f>"1995-10-04"</f>
        <v>1995-10-04</v>
      </c>
    </row>
    <row r="1742" spans="1:4" ht="15.75" customHeight="1" x14ac:dyDescent="0.2">
      <c r="A1742" s="2" t="s">
        <v>70</v>
      </c>
      <c r="B1742" s="2" t="str">
        <f>"陈成"</f>
        <v>陈成</v>
      </c>
      <c r="C1742" s="2" t="str">
        <f>"男"</f>
        <v>男</v>
      </c>
      <c r="D1742" s="2" t="str">
        <f>"1996-01-21"</f>
        <v>1996-01-21</v>
      </c>
    </row>
    <row r="1743" spans="1:4" ht="15.75" customHeight="1" x14ac:dyDescent="0.2">
      <c r="A1743" s="2" t="s">
        <v>24</v>
      </c>
      <c r="B1743" s="2" t="str">
        <f>"杨昕敏"</f>
        <v>杨昕敏</v>
      </c>
      <c r="C1743" s="2" t="str">
        <f>"女"</f>
        <v>女</v>
      </c>
      <c r="D1743" s="2" t="str">
        <f>"1995-05-16"</f>
        <v>1995-05-16</v>
      </c>
    </row>
    <row r="1744" spans="1:4" ht="15.75" customHeight="1" x14ac:dyDescent="0.2">
      <c r="A1744" s="2" t="s">
        <v>46</v>
      </c>
      <c r="B1744" s="2" t="str">
        <f>"潘琪"</f>
        <v>潘琪</v>
      </c>
      <c r="C1744" s="2" t="str">
        <f>"女"</f>
        <v>女</v>
      </c>
      <c r="D1744" s="2" t="str">
        <f>"1992-04-08"</f>
        <v>1992-04-08</v>
      </c>
    </row>
    <row r="1745" spans="1:4" ht="15.75" customHeight="1" x14ac:dyDescent="0.2">
      <c r="A1745" s="2" t="s">
        <v>12</v>
      </c>
      <c r="B1745" s="2" t="str">
        <f>"胡芷威"</f>
        <v>胡芷威</v>
      </c>
      <c r="C1745" s="2" t="str">
        <f>"女"</f>
        <v>女</v>
      </c>
      <c r="D1745" s="2" t="str">
        <f>"1996-02-24"</f>
        <v>1996-02-24</v>
      </c>
    </row>
    <row r="1746" spans="1:4" ht="15.75" customHeight="1" x14ac:dyDescent="0.2">
      <c r="A1746" s="2" t="s">
        <v>9</v>
      </c>
      <c r="B1746" s="2" t="str">
        <f>"张磊"</f>
        <v>张磊</v>
      </c>
      <c r="C1746" s="2" t="str">
        <f>"男"</f>
        <v>男</v>
      </c>
      <c r="D1746" s="2" t="str">
        <f>"1994-10-13"</f>
        <v>1994-10-13</v>
      </c>
    </row>
    <row r="1747" spans="1:4" ht="15.75" customHeight="1" x14ac:dyDescent="0.2">
      <c r="A1747" s="2" t="s">
        <v>55</v>
      </c>
      <c r="B1747" s="2" t="str">
        <f>"刘国元"</f>
        <v>刘国元</v>
      </c>
      <c r="C1747" s="2" t="str">
        <f>"男"</f>
        <v>男</v>
      </c>
      <c r="D1747" s="2" t="str">
        <f>"1996-11-05"</f>
        <v>1996-11-05</v>
      </c>
    </row>
    <row r="1748" spans="1:4" ht="15.75" customHeight="1" x14ac:dyDescent="0.2">
      <c r="A1748" s="2" t="s">
        <v>27</v>
      </c>
      <c r="B1748" s="2" t="str">
        <f>"刘迪"</f>
        <v>刘迪</v>
      </c>
      <c r="C1748" s="2" t="str">
        <f>"男"</f>
        <v>男</v>
      </c>
      <c r="D1748" s="2" t="str">
        <f>"1993-06-05"</f>
        <v>1993-06-05</v>
      </c>
    </row>
    <row r="1749" spans="1:4" ht="15.75" customHeight="1" x14ac:dyDescent="0.2">
      <c r="A1749" s="2" t="s">
        <v>24</v>
      </c>
      <c r="B1749" s="2" t="str">
        <f>"沈琳"</f>
        <v>沈琳</v>
      </c>
      <c r="C1749" s="2" t="str">
        <f>"女"</f>
        <v>女</v>
      </c>
      <c r="D1749" s="2" t="str">
        <f>"1992-11-25"</f>
        <v>1992-11-25</v>
      </c>
    </row>
    <row r="1750" spans="1:4" ht="15.75" customHeight="1" x14ac:dyDescent="0.2">
      <c r="A1750" s="2" t="s">
        <v>28</v>
      </c>
      <c r="B1750" s="2" t="str">
        <f>"聂昶宇"</f>
        <v>聂昶宇</v>
      </c>
      <c r="C1750" s="2" t="str">
        <f>"男"</f>
        <v>男</v>
      </c>
      <c r="D1750" s="2" t="str">
        <f>"1997-06-12"</f>
        <v>1997-06-12</v>
      </c>
    </row>
    <row r="1751" spans="1:4" ht="15.75" customHeight="1" x14ac:dyDescent="0.2">
      <c r="A1751" s="2" t="s">
        <v>51</v>
      </c>
      <c r="B1751" s="2" t="str">
        <f>"周夕人"</f>
        <v>周夕人</v>
      </c>
      <c r="C1751" s="2" t="str">
        <f>"女"</f>
        <v>女</v>
      </c>
      <c r="D1751" s="2" t="str">
        <f>"1996-11-15"</f>
        <v>1996-11-15</v>
      </c>
    </row>
    <row r="1752" spans="1:4" ht="15.75" customHeight="1" x14ac:dyDescent="0.2">
      <c r="A1752" s="2" t="s">
        <v>68</v>
      </c>
      <c r="B1752" s="2" t="str">
        <f>"刘筠"</f>
        <v>刘筠</v>
      </c>
      <c r="C1752" s="2" t="str">
        <f>"女"</f>
        <v>女</v>
      </c>
      <c r="D1752" s="2" t="str">
        <f>"1997-11-25"</f>
        <v>1997-11-25</v>
      </c>
    </row>
    <row r="1753" spans="1:4" ht="15.75" customHeight="1" x14ac:dyDescent="0.2">
      <c r="A1753" s="2" t="s">
        <v>58</v>
      </c>
      <c r="B1753" s="2" t="str">
        <f>"龙子璇"</f>
        <v>龙子璇</v>
      </c>
      <c r="C1753" s="2" t="str">
        <f>"女"</f>
        <v>女</v>
      </c>
      <c r="D1753" s="2" t="str">
        <f>"1996-08-08"</f>
        <v>1996-08-08</v>
      </c>
    </row>
    <row r="1754" spans="1:4" ht="15.75" customHeight="1" x14ac:dyDescent="0.2">
      <c r="A1754" s="2" t="s">
        <v>33</v>
      </c>
      <c r="B1754" s="2" t="str">
        <f>"胡冰钊"</f>
        <v>胡冰钊</v>
      </c>
      <c r="C1754" s="2" t="str">
        <f>"女"</f>
        <v>女</v>
      </c>
      <c r="D1754" s="2" t="str">
        <f>"1996-08-23"</f>
        <v>1996-08-23</v>
      </c>
    </row>
    <row r="1755" spans="1:4" ht="15.75" customHeight="1" x14ac:dyDescent="0.2">
      <c r="A1755" s="2" t="s">
        <v>4</v>
      </c>
      <c r="B1755" s="2" t="str">
        <f>"欧阳晓冬"</f>
        <v>欧阳晓冬</v>
      </c>
      <c r="C1755" s="2" t="str">
        <f>"男"</f>
        <v>男</v>
      </c>
      <c r="D1755" s="2" t="str">
        <f>"1995-12-10"</f>
        <v>1995-12-10</v>
      </c>
    </row>
    <row r="1756" spans="1:4" ht="15.75" customHeight="1" x14ac:dyDescent="0.2">
      <c r="A1756" s="2" t="s">
        <v>13</v>
      </c>
      <c r="B1756" s="2" t="str">
        <f>"胡牡丹"</f>
        <v>胡牡丹</v>
      </c>
      <c r="C1756" s="2" t="str">
        <f>"女"</f>
        <v>女</v>
      </c>
      <c r="D1756" s="2" t="str">
        <f>"1989-12-09"</f>
        <v>1989-12-09</v>
      </c>
    </row>
    <row r="1757" spans="1:4" ht="15.75" customHeight="1" x14ac:dyDescent="0.2">
      <c r="A1757" s="2" t="s">
        <v>52</v>
      </c>
      <c r="B1757" s="2" t="str">
        <f>"明淋淋"</f>
        <v>明淋淋</v>
      </c>
      <c r="C1757" s="2" t="str">
        <f>"女"</f>
        <v>女</v>
      </c>
      <c r="D1757" s="2" t="str">
        <f>"1990-03-15"</f>
        <v>1990-03-15</v>
      </c>
    </row>
    <row r="1758" spans="1:4" ht="15.75" customHeight="1" x14ac:dyDescent="0.2">
      <c r="A1758" s="2" t="s">
        <v>35</v>
      </c>
      <c r="B1758" s="2" t="str">
        <f>"邓琦"</f>
        <v>邓琦</v>
      </c>
      <c r="C1758" s="2" t="str">
        <f>"男"</f>
        <v>男</v>
      </c>
      <c r="D1758" s="2" t="str">
        <f>"1993-12-11"</f>
        <v>1993-12-11</v>
      </c>
    </row>
    <row r="1759" spans="1:4" ht="15.75" customHeight="1" x14ac:dyDescent="0.2">
      <c r="A1759" s="2" t="s">
        <v>13</v>
      </c>
      <c r="B1759" s="2" t="str">
        <f>"刘瑞"</f>
        <v>刘瑞</v>
      </c>
      <c r="C1759" s="2" t="str">
        <f>"女"</f>
        <v>女</v>
      </c>
      <c r="D1759" s="2" t="str">
        <f>"1991-08-11"</f>
        <v>1991-08-11</v>
      </c>
    </row>
    <row r="1760" spans="1:4" ht="15.75" customHeight="1" x14ac:dyDescent="0.2">
      <c r="A1760" s="2" t="s">
        <v>65</v>
      </c>
      <c r="B1760" s="2" t="str">
        <f>"何李佳"</f>
        <v>何李佳</v>
      </c>
      <c r="C1760" s="2" t="str">
        <f>"女"</f>
        <v>女</v>
      </c>
      <c r="D1760" s="2" t="str">
        <f>"1994-09-16"</f>
        <v>1994-09-16</v>
      </c>
    </row>
    <row r="1761" spans="1:4" ht="15.75" customHeight="1" x14ac:dyDescent="0.2">
      <c r="A1761" s="2" t="s">
        <v>61</v>
      </c>
      <c r="B1761" s="2" t="str">
        <f>"曾锦洋"</f>
        <v>曾锦洋</v>
      </c>
      <c r="C1761" s="2" t="str">
        <f>"女"</f>
        <v>女</v>
      </c>
      <c r="D1761" s="2" t="str">
        <f>"1998-04-13"</f>
        <v>1998-04-13</v>
      </c>
    </row>
    <row r="1762" spans="1:4" ht="15.75" customHeight="1" x14ac:dyDescent="0.2">
      <c r="A1762" s="2" t="s">
        <v>15</v>
      </c>
      <c r="B1762" s="2" t="str">
        <f>"冯楷凌"</f>
        <v>冯楷凌</v>
      </c>
      <c r="C1762" s="2" t="str">
        <f>"男"</f>
        <v>男</v>
      </c>
      <c r="D1762" s="2" t="str">
        <f>"1998-09-01"</f>
        <v>1998-09-01</v>
      </c>
    </row>
    <row r="1763" spans="1:4" ht="15.75" customHeight="1" x14ac:dyDescent="0.2">
      <c r="A1763" s="2" t="s">
        <v>30</v>
      </c>
      <c r="B1763" s="2" t="str">
        <f>"祁泰顺 "</f>
        <v xml:space="preserve">祁泰顺 </v>
      </c>
      <c r="C1763" s="2" t="str">
        <f>"男"</f>
        <v>男</v>
      </c>
      <c r="D1763" s="2" t="str">
        <f>"1995-06-26"</f>
        <v>1995-06-26</v>
      </c>
    </row>
    <row r="1764" spans="1:4" ht="15.75" customHeight="1" x14ac:dyDescent="0.2">
      <c r="A1764" s="2" t="s">
        <v>40</v>
      </c>
      <c r="B1764" s="2" t="str">
        <f>"徐朝阳"</f>
        <v>徐朝阳</v>
      </c>
      <c r="C1764" s="2" t="str">
        <f>"女"</f>
        <v>女</v>
      </c>
      <c r="D1764" s="2" t="str">
        <f>"1995-02-04"</f>
        <v>1995-02-04</v>
      </c>
    </row>
    <row r="1765" spans="1:4" ht="15.75" customHeight="1" x14ac:dyDescent="0.2">
      <c r="A1765" s="2" t="s">
        <v>20</v>
      </c>
      <c r="B1765" s="2" t="str">
        <f>"毛珩"</f>
        <v>毛珩</v>
      </c>
      <c r="C1765" s="2" t="str">
        <f>"男"</f>
        <v>男</v>
      </c>
      <c r="D1765" s="2" t="str">
        <f>"1999-03-31"</f>
        <v>1999-03-31</v>
      </c>
    </row>
    <row r="1766" spans="1:4" ht="15.75" customHeight="1" x14ac:dyDescent="0.2">
      <c r="A1766" s="2" t="s">
        <v>37</v>
      </c>
      <c r="B1766" s="2" t="str">
        <f>"赵俊杰"</f>
        <v>赵俊杰</v>
      </c>
      <c r="C1766" s="2" t="str">
        <f>"男"</f>
        <v>男</v>
      </c>
      <c r="D1766" s="2" t="str">
        <f>"1997-08-30"</f>
        <v>1997-08-30</v>
      </c>
    </row>
    <row r="1767" spans="1:4" ht="15.75" customHeight="1" x14ac:dyDescent="0.2">
      <c r="A1767" s="2" t="s">
        <v>4</v>
      </c>
      <c r="B1767" s="2" t="str">
        <f>"周志豪"</f>
        <v>周志豪</v>
      </c>
      <c r="C1767" s="2" t="str">
        <f>"男"</f>
        <v>男</v>
      </c>
      <c r="D1767" s="2" t="str">
        <f>"1994-03-19"</f>
        <v>1994-03-19</v>
      </c>
    </row>
    <row r="1768" spans="1:4" ht="15.75" customHeight="1" x14ac:dyDescent="0.2">
      <c r="A1768" s="2" t="s">
        <v>14</v>
      </c>
      <c r="B1768" s="2" t="str">
        <f>"韩芳"</f>
        <v>韩芳</v>
      </c>
      <c r="C1768" s="2" t="str">
        <f>"女"</f>
        <v>女</v>
      </c>
      <c r="D1768" s="2" t="str">
        <f>"1998-05-10"</f>
        <v>1998-05-10</v>
      </c>
    </row>
    <row r="1769" spans="1:4" ht="15.75" customHeight="1" x14ac:dyDescent="0.2">
      <c r="A1769" s="2" t="s">
        <v>52</v>
      </c>
      <c r="B1769" s="2" t="str">
        <f>"程芳"</f>
        <v>程芳</v>
      </c>
      <c r="C1769" s="2" t="str">
        <f>"女"</f>
        <v>女</v>
      </c>
      <c r="D1769" s="2" t="str">
        <f>"1987-02-16"</f>
        <v>1987-02-16</v>
      </c>
    </row>
    <row r="1770" spans="1:4" ht="15.75" customHeight="1" x14ac:dyDescent="0.2">
      <c r="A1770" s="2" t="s">
        <v>15</v>
      </c>
      <c r="B1770" s="2" t="str">
        <f>"刘伟宏"</f>
        <v>刘伟宏</v>
      </c>
      <c r="C1770" s="2" t="str">
        <f>"女"</f>
        <v>女</v>
      </c>
      <c r="D1770" s="2" t="str">
        <f>"1998-06-24"</f>
        <v>1998-06-24</v>
      </c>
    </row>
    <row r="1771" spans="1:4" ht="15.75" customHeight="1" x14ac:dyDescent="0.2">
      <c r="A1771" s="2" t="s">
        <v>44</v>
      </c>
      <c r="B1771" s="2" t="str">
        <f>"彭磊"</f>
        <v>彭磊</v>
      </c>
      <c r="C1771" s="2" t="str">
        <f>"女"</f>
        <v>女</v>
      </c>
      <c r="D1771" s="2" t="str">
        <f>"1992-11-03"</f>
        <v>1992-11-03</v>
      </c>
    </row>
    <row r="1772" spans="1:4" ht="15.75" customHeight="1" x14ac:dyDescent="0.2">
      <c r="A1772" s="2" t="s">
        <v>28</v>
      </c>
      <c r="B1772" s="2" t="str">
        <f>"王健鑫"</f>
        <v>王健鑫</v>
      </c>
      <c r="C1772" s="2" t="str">
        <f>"男"</f>
        <v>男</v>
      </c>
      <c r="D1772" s="2" t="str">
        <f>"1996-03-05"</f>
        <v>1996-03-05</v>
      </c>
    </row>
    <row r="1773" spans="1:4" ht="15.75" customHeight="1" x14ac:dyDescent="0.2">
      <c r="A1773" s="2" t="s">
        <v>15</v>
      </c>
      <c r="B1773" s="2" t="str">
        <f>"易婉渟"</f>
        <v>易婉渟</v>
      </c>
      <c r="C1773" s="2" t="str">
        <f>"女"</f>
        <v>女</v>
      </c>
      <c r="D1773" s="2" t="str">
        <f>"1998-10-13"</f>
        <v>1998-10-13</v>
      </c>
    </row>
    <row r="1774" spans="1:4" ht="15.75" customHeight="1" x14ac:dyDescent="0.2">
      <c r="A1774" s="2" t="s">
        <v>27</v>
      </c>
      <c r="B1774" s="2" t="str">
        <f>"王卉颖"</f>
        <v>王卉颖</v>
      </c>
      <c r="C1774" s="2" t="str">
        <f>"女"</f>
        <v>女</v>
      </c>
      <c r="D1774" s="2" t="str">
        <f>"1998-09-11"</f>
        <v>1998-09-11</v>
      </c>
    </row>
    <row r="1775" spans="1:4" ht="15.75" customHeight="1" x14ac:dyDescent="0.2">
      <c r="A1775" s="2" t="s">
        <v>34</v>
      </c>
      <c r="B1775" s="2" t="str">
        <f>"罗辉煌"</f>
        <v>罗辉煌</v>
      </c>
      <c r="C1775" s="2" t="str">
        <f>"男"</f>
        <v>男</v>
      </c>
      <c r="D1775" s="2" t="str">
        <f>"1997-03-18"</f>
        <v>1997-03-18</v>
      </c>
    </row>
    <row r="1776" spans="1:4" ht="15.75" customHeight="1" x14ac:dyDescent="0.2">
      <c r="A1776" s="2" t="s">
        <v>69</v>
      </c>
      <c r="B1776" s="2" t="str">
        <f>"赵菁暄"</f>
        <v>赵菁暄</v>
      </c>
      <c r="C1776" s="2" t="str">
        <f>"女"</f>
        <v>女</v>
      </c>
      <c r="D1776" s="2" t="str">
        <f>"1998-11-17"</f>
        <v>1998-11-17</v>
      </c>
    </row>
    <row r="1777" spans="1:4" ht="15.75" customHeight="1" x14ac:dyDescent="0.2">
      <c r="A1777" s="2" t="s">
        <v>20</v>
      </c>
      <c r="B1777" s="2" t="str">
        <f>"邹彬"</f>
        <v>邹彬</v>
      </c>
      <c r="C1777" s="2" t="str">
        <f>"男"</f>
        <v>男</v>
      </c>
      <c r="D1777" s="2" t="str">
        <f>"1996-04-20"</f>
        <v>1996-04-20</v>
      </c>
    </row>
    <row r="1778" spans="1:4" ht="15.75" customHeight="1" x14ac:dyDescent="0.2">
      <c r="A1778" s="2" t="s">
        <v>15</v>
      </c>
      <c r="B1778" s="2" t="str">
        <f>"陈哲宇"</f>
        <v>陈哲宇</v>
      </c>
      <c r="C1778" s="2" t="str">
        <f>"男"</f>
        <v>男</v>
      </c>
      <c r="D1778" s="2" t="str">
        <f>"1998-03-27"</f>
        <v>1998-03-27</v>
      </c>
    </row>
    <row r="1779" spans="1:4" ht="15.75" customHeight="1" x14ac:dyDescent="0.2">
      <c r="A1779" s="2" t="s">
        <v>36</v>
      </c>
      <c r="B1779" s="2" t="str">
        <f>"王峰"</f>
        <v>王峰</v>
      </c>
      <c r="C1779" s="2" t="str">
        <f>"男"</f>
        <v>男</v>
      </c>
      <c r="D1779" s="2" t="str">
        <f>"1996-09-09"</f>
        <v>1996-09-09</v>
      </c>
    </row>
    <row r="1780" spans="1:4" ht="15.75" customHeight="1" x14ac:dyDescent="0.2">
      <c r="A1780" s="2" t="s">
        <v>48</v>
      </c>
      <c r="B1780" s="2" t="str">
        <f>"刘长亮"</f>
        <v>刘长亮</v>
      </c>
      <c r="C1780" s="2" t="str">
        <f>"男"</f>
        <v>男</v>
      </c>
      <c r="D1780" s="2" t="str">
        <f>"1986-01-08"</f>
        <v>1986-01-08</v>
      </c>
    </row>
    <row r="1781" spans="1:4" ht="15.75" customHeight="1" x14ac:dyDescent="0.2">
      <c r="A1781" s="2" t="s">
        <v>23</v>
      </c>
      <c r="B1781" s="2" t="str">
        <f>"杨治坤"</f>
        <v>杨治坤</v>
      </c>
      <c r="C1781" s="2" t="str">
        <f>"男"</f>
        <v>男</v>
      </c>
      <c r="D1781" s="2" t="str">
        <f>"1996-08-22"</f>
        <v>1996-08-22</v>
      </c>
    </row>
    <row r="1782" spans="1:4" ht="15.75" customHeight="1" x14ac:dyDescent="0.2">
      <c r="A1782" s="2" t="s">
        <v>58</v>
      </c>
      <c r="B1782" s="2" t="str">
        <f>"雷小艺"</f>
        <v>雷小艺</v>
      </c>
      <c r="C1782" s="2" t="str">
        <f>"女"</f>
        <v>女</v>
      </c>
      <c r="D1782" s="2" t="str">
        <f>"1991-01-08"</f>
        <v>1991-01-08</v>
      </c>
    </row>
    <row r="1783" spans="1:4" ht="15.75" customHeight="1" x14ac:dyDescent="0.2">
      <c r="A1783" s="2" t="s">
        <v>9</v>
      </c>
      <c r="B1783" s="2" t="str">
        <f>"胡学文"</f>
        <v>胡学文</v>
      </c>
      <c r="C1783" s="2" t="str">
        <f>"男"</f>
        <v>男</v>
      </c>
      <c r="D1783" s="2" t="str">
        <f>"1989-03-03"</f>
        <v>1989-03-03</v>
      </c>
    </row>
    <row r="1784" spans="1:4" ht="15.75" customHeight="1" x14ac:dyDescent="0.2">
      <c r="A1784" s="2" t="s">
        <v>34</v>
      </c>
      <c r="B1784" s="2" t="str">
        <f>"周君宪"</f>
        <v>周君宪</v>
      </c>
      <c r="C1784" s="2" t="str">
        <f>"男"</f>
        <v>男</v>
      </c>
      <c r="D1784" s="2" t="str">
        <f>"1993-06-17"</f>
        <v>1993-06-17</v>
      </c>
    </row>
    <row r="1785" spans="1:4" ht="15.75" customHeight="1" x14ac:dyDescent="0.2">
      <c r="A1785" s="2" t="s">
        <v>36</v>
      </c>
      <c r="B1785" s="2" t="str">
        <f>"宋雨蓉"</f>
        <v>宋雨蓉</v>
      </c>
      <c r="C1785" s="2" t="str">
        <f>"女"</f>
        <v>女</v>
      </c>
      <c r="D1785" s="2" t="str">
        <f>"1998-09-20"</f>
        <v>1998-09-20</v>
      </c>
    </row>
    <row r="1786" spans="1:4" ht="15.75" customHeight="1" x14ac:dyDescent="0.2">
      <c r="A1786" s="2" t="s">
        <v>20</v>
      </c>
      <c r="B1786" s="2" t="str">
        <f>"黄丹"</f>
        <v>黄丹</v>
      </c>
      <c r="C1786" s="2" t="str">
        <f>"女"</f>
        <v>女</v>
      </c>
      <c r="D1786" s="2" t="str">
        <f>"1997-08-25"</f>
        <v>1997-08-25</v>
      </c>
    </row>
    <row r="1787" spans="1:4" ht="15.75" customHeight="1" x14ac:dyDescent="0.2">
      <c r="A1787" s="2" t="s">
        <v>24</v>
      </c>
      <c r="B1787" s="2" t="str">
        <f>"汤帅"</f>
        <v>汤帅</v>
      </c>
      <c r="C1787" s="2" t="str">
        <f>"男"</f>
        <v>男</v>
      </c>
      <c r="D1787" s="2" t="str">
        <f>"1989-10-20"</f>
        <v>1989-10-20</v>
      </c>
    </row>
    <row r="1788" spans="1:4" ht="15.75" customHeight="1" x14ac:dyDescent="0.2">
      <c r="A1788" s="2" t="s">
        <v>18</v>
      </c>
      <c r="B1788" s="2" t="str">
        <f>"熊娇"</f>
        <v>熊娇</v>
      </c>
      <c r="C1788" s="2" t="str">
        <f>"女"</f>
        <v>女</v>
      </c>
      <c r="D1788" s="2" t="str">
        <f>"1988-01-08"</f>
        <v>1988-01-08</v>
      </c>
    </row>
    <row r="1789" spans="1:4" ht="15.75" customHeight="1" x14ac:dyDescent="0.2">
      <c r="A1789" s="2" t="s">
        <v>14</v>
      </c>
      <c r="B1789" s="2" t="str">
        <f>"刘文宁"</f>
        <v>刘文宁</v>
      </c>
      <c r="C1789" s="2" t="str">
        <f>"男"</f>
        <v>男</v>
      </c>
      <c r="D1789" s="2" t="str">
        <f>"1998-07-17"</f>
        <v>1998-07-17</v>
      </c>
    </row>
    <row r="1790" spans="1:4" ht="15.75" customHeight="1" x14ac:dyDescent="0.2">
      <c r="A1790" s="2" t="s">
        <v>30</v>
      </c>
      <c r="B1790" s="2" t="str">
        <f>"王涛"</f>
        <v>王涛</v>
      </c>
      <c r="C1790" s="2" t="str">
        <f>"男"</f>
        <v>男</v>
      </c>
      <c r="D1790" s="2" t="str">
        <f>"1986-04-30"</f>
        <v>1986-04-30</v>
      </c>
    </row>
    <row r="1791" spans="1:4" ht="15.75" customHeight="1" x14ac:dyDescent="0.2">
      <c r="A1791" s="2" t="s">
        <v>29</v>
      </c>
      <c r="B1791" s="2" t="str">
        <f>"黎宇轩"</f>
        <v>黎宇轩</v>
      </c>
      <c r="C1791" s="2" t="str">
        <f>"男"</f>
        <v>男</v>
      </c>
      <c r="D1791" s="2" t="str">
        <f>"1998-05-08"</f>
        <v>1998-05-08</v>
      </c>
    </row>
    <row r="1792" spans="1:4" ht="15.75" customHeight="1" x14ac:dyDescent="0.2">
      <c r="A1792" s="2" t="s">
        <v>49</v>
      </c>
      <c r="B1792" s="2" t="str">
        <f>"尹惠民"</f>
        <v>尹惠民</v>
      </c>
      <c r="C1792" s="2" t="str">
        <f>"男"</f>
        <v>男</v>
      </c>
      <c r="D1792" s="2" t="str">
        <f>"1986-08-16"</f>
        <v>1986-08-16</v>
      </c>
    </row>
    <row r="1793" spans="1:4" ht="15.75" customHeight="1" x14ac:dyDescent="0.2">
      <c r="A1793" s="2" t="s">
        <v>57</v>
      </c>
      <c r="B1793" s="2" t="str">
        <f>"黄微希"</f>
        <v>黄微希</v>
      </c>
      <c r="C1793" s="2" t="str">
        <f>"女"</f>
        <v>女</v>
      </c>
      <c r="D1793" s="2" t="str">
        <f>"1989-12-20"</f>
        <v>1989-12-20</v>
      </c>
    </row>
    <row r="1794" spans="1:4" ht="15.75" customHeight="1" x14ac:dyDescent="0.2">
      <c r="A1794" s="2" t="s">
        <v>42</v>
      </c>
      <c r="B1794" s="2" t="str">
        <f>"向美玉"</f>
        <v>向美玉</v>
      </c>
      <c r="C1794" s="2" t="str">
        <f>"女"</f>
        <v>女</v>
      </c>
      <c r="D1794" s="2" t="str">
        <f>"1986-10-10"</f>
        <v>1986-10-10</v>
      </c>
    </row>
    <row r="1795" spans="1:4" ht="15.75" customHeight="1" x14ac:dyDescent="0.2">
      <c r="A1795" s="2" t="s">
        <v>50</v>
      </c>
      <c r="B1795" s="2" t="str">
        <f>"彭志锋"</f>
        <v>彭志锋</v>
      </c>
      <c r="C1795" s="2" t="str">
        <f>"男"</f>
        <v>男</v>
      </c>
      <c r="D1795" s="2" t="str">
        <f>"1995-08-30"</f>
        <v>1995-08-30</v>
      </c>
    </row>
    <row r="1796" spans="1:4" ht="15.75" customHeight="1" x14ac:dyDescent="0.2">
      <c r="A1796" s="2" t="s">
        <v>17</v>
      </c>
      <c r="B1796" s="2" t="str">
        <f>"阳先飞"</f>
        <v>阳先飞</v>
      </c>
      <c r="C1796" s="2" t="str">
        <f>"男"</f>
        <v>男</v>
      </c>
      <c r="D1796" s="2" t="str">
        <f>"1991-02-02"</f>
        <v>1991-02-02</v>
      </c>
    </row>
    <row r="1797" spans="1:4" ht="15.75" customHeight="1" x14ac:dyDescent="0.2">
      <c r="A1797" s="2" t="s">
        <v>28</v>
      </c>
      <c r="B1797" s="2" t="str">
        <f>"毛志敏"</f>
        <v>毛志敏</v>
      </c>
      <c r="C1797" s="2" t="str">
        <f>"女"</f>
        <v>女</v>
      </c>
      <c r="D1797" s="2" t="str">
        <f>"1997-10-14"</f>
        <v>1997-10-14</v>
      </c>
    </row>
    <row r="1798" spans="1:4" ht="15.75" customHeight="1" x14ac:dyDescent="0.2">
      <c r="A1798" s="2" t="s">
        <v>24</v>
      </c>
      <c r="B1798" s="2" t="str">
        <f>"李鑫"</f>
        <v>李鑫</v>
      </c>
      <c r="C1798" s="2" t="str">
        <f>"男"</f>
        <v>男</v>
      </c>
      <c r="D1798" s="2" t="str">
        <f>"1992-10-10"</f>
        <v>1992-10-10</v>
      </c>
    </row>
    <row r="1799" spans="1:4" ht="15.75" customHeight="1" x14ac:dyDescent="0.2">
      <c r="A1799" s="2" t="s">
        <v>49</v>
      </c>
      <c r="B1799" s="2" t="str">
        <f>"张欢"</f>
        <v>张欢</v>
      </c>
      <c r="C1799" s="2" t="str">
        <f>"女"</f>
        <v>女</v>
      </c>
      <c r="D1799" s="2" t="str">
        <f>"1993-06-18"</f>
        <v>1993-06-18</v>
      </c>
    </row>
    <row r="1800" spans="1:4" ht="15.75" customHeight="1" x14ac:dyDescent="0.2">
      <c r="A1800" s="2" t="s">
        <v>29</v>
      </c>
      <c r="B1800" s="2" t="str">
        <f>"羿红莲"</f>
        <v>羿红莲</v>
      </c>
      <c r="C1800" s="2" t="str">
        <f>"女"</f>
        <v>女</v>
      </c>
      <c r="D1800" s="2" t="str">
        <f>"1992-09-09"</f>
        <v>1992-09-09</v>
      </c>
    </row>
    <row r="1801" spans="1:4" ht="15.75" customHeight="1" x14ac:dyDescent="0.2">
      <c r="A1801" s="2" t="s">
        <v>20</v>
      </c>
      <c r="B1801" s="2" t="str">
        <f>"朱志杰"</f>
        <v>朱志杰</v>
      </c>
      <c r="C1801" s="2" t="str">
        <f>"男"</f>
        <v>男</v>
      </c>
      <c r="D1801" s="2" t="str">
        <f>"1997-04-11"</f>
        <v>1997-04-11</v>
      </c>
    </row>
    <row r="1802" spans="1:4" ht="15.75" customHeight="1" x14ac:dyDescent="0.2">
      <c r="A1802" s="2" t="s">
        <v>50</v>
      </c>
      <c r="B1802" s="2" t="str">
        <f>"丁莉"</f>
        <v>丁莉</v>
      </c>
      <c r="C1802" s="2" t="str">
        <f>"女"</f>
        <v>女</v>
      </c>
      <c r="D1802" s="2" t="str">
        <f>"1996-08-27"</f>
        <v>1996-08-27</v>
      </c>
    </row>
    <row r="1803" spans="1:4" ht="15.75" customHeight="1" x14ac:dyDescent="0.2">
      <c r="A1803" s="2" t="s">
        <v>54</v>
      </c>
      <c r="B1803" s="2" t="str">
        <f>"刘俊麟"</f>
        <v>刘俊麟</v>
      </c>
      <c r="C1803" s="2" t="str">
        <f>"男"</f>
        <v>男</v>
      </c>
      <c r="D1803" s="2" t="str">
        <f>"1995-01-09"</f>
        <v>1995-01-09</v>
      </c>
    </row>
    <row r="1804" spans="1:4" ht="15.75" customHeight="1" x14ac:dyDescent="0.2">
      <c r="A1804" s="2" t="s">
        <v>28</v>
      </c>
      <c r="B1804" s="2" t="str">
        <f>"曾菁"</f>
        <v>曾菁</v>
      </c>
      <c r="C1804" s="2" t="str">
        <f>"女"</f>
        <v>女</v>
      </c>
      <c r="D1804" s="2" t="str">
        <f>"1992-10-19"</f>
        <v>1992-10-19</v>
      </c>
    </row>
    <row r="1805" spans="1:4" ht="15.75" customHeight="1" x14ac:dyDescent="0.2">
      <c r="A1805" s="2" t="s">
        <v>43</v>
      </c>
      <c r="B1805" s="2" t="str">
        <f>"周鸣"</f>
        <v>周鸣</v>
      </c>
      <c r="C1805" s="2" t="str">
        <f>"男"</f>
        <v>男</v>
      </c>
      <c r="D1805" s="2" t="str">
        <f>"1992-09-14"</f>
        <v>1992-09-14</v>
      </c>
    </row>
    <row r="1806" spans="1:4" ht="15.75" customHeight="1" x14ac:dyDescent="0.2">
      <c r="A1806" s="2" t="s">
        <v>14</v>
      </c>
      <c r="B1806" s="2" t="str">
        <f>"卢亮"</f>
        <v>卢亮</v>
      </c>
      <c r="C1806" s="2" t="str">
        <f>"男"</f>
        <v>男</v>
      </c>
      <c r="D1806" s="2" t="str">
        <f>"1988-12-15"</f>
        <v>1988-12-15</v>
      </c>
    </row>
    <row r="1807" spans="1:4" ht="15.75" customHeight="1" x14ac:dyDescent="0.2">
      <c r="A1807" s="2" t="s">
        <v>55</v>
      </c>
      <c r="B1807" s="2" t="str">
        <f>"张盼"</f>
        <v>张盼</v>
      </c>
      <c r="C1807" s="2" t="str">
        <f>"女"</f>
        <v>女</v>
      </c>
      <c r="D1807" s="2" t="str">
        <f>"1991-12-22"</f>
        <v>1991-12-22</v>
      </c>
    </row>
    <row r="1808" spans="1:4" ht="15.75" customHeight="1" x14ac:dyDescent="0.2">
      <c r="A1808" s="2" t="s">
        <v>36</v>
      </c>
      <c r="B1808" s="2" t="str">
        <f>"伍计龙"</f>
        <v>伍计龙</v>
      </c>
      <c r="C1808" s="2" t="str">
        <f>"男"</f>
        <v>男</v>
      </c>
      <c r="D1808" s="2" t="str">
        <f>"1993-03-04"</f>
        <v>1993-03-04</v>
      </c>
    </row>
    <row r="1809" spans="1:4" ht="15.75" customHeight="1" x14ac:dyDescent="0.2">
      <c r="A1809" s="2" t="s">
        <v>25</v>
      </c>
      <c r="B1809" s="2" t="str">
        <f>"张维国"</f>
        <v>张维国</v>
      </c>
      <c r="C1809" s="2" t="str">
        <f>"男"</f>
        <v>男</v>
      </c>
      <c r="D1809" s="2" t="str">
        <f>"1995-06-14"</f>
        <v>1995-06-14</v>
      </c>
    </row>
    <row r="1810" spans="1:4" ht="15.75" customHeight="1" x14ac:dyDescent="0.2">
      <c r="A1810" s="2" t="s">
        <v>12</v>
      </c>
      <c r="B1810" s="2" t="str">
        <f>"罗乾"</f>
        <v>罗乾</v>
      </c>
      <c r="C1810" s="2" t="str">
        <f>"女"</f>
        <v>女</v>
      </c>
      <c r="D1810" s="2" t="str">
        <f>"1996-10-30"</f>
        <v>1996-10-30</v>
      </c>
    </row>
    <row r="1811" spans="1:4" ht="15.75" customHeight="1" x14ac:dyDescent="0.2">
      <c r="A1811" s="2" t="s">
        <v>14</v>
      </c>
      <c r="B1811" s="2" t="str">
        <f>"李斌成"</f>
        <v>李斌成</v>
      </c>
      <c r="C1811" s="2" t="str">
        <f>"男"</f>
        <v>男</v>
      </c>
      <c r="D1811" s="2" t="str">
        <f>"1993-03-21"</f>
        <v>1993-03-21</v>
      </c>
    </row>
    <row r="1812" spans="1:4" ht="15.75" customHeight="1" x14ac:dyDescent="0.2">
      <c r="A1812" s="2" t="s">
        <v>42</v>
      </c>
      <c r="B1812" s="2" t="str">
        <f>"文程"</f>
        <v>文程</v>
      </c>
      <c r="C1812" s="2" t="str">
        <f>"女"</f>
        <v>女</v>
      </c>
      <c r="D1812" s="2" t="str">
        <f>"1993-05-26"</f>
        <v>1993-05-26</v>
      </c>
    </row>
    <row r="1813" spans="1:4" ht="15.75" customHeight="1" x14ac:dyDescent="0.2">
      <c r="A1813" s="2" t="s">
        <v>65</v>
      </c>
      <c r="B1813" s="2" t="str">
        <f>"汪雯雯"</f>
        <v>汪雯雯</v>
      </c>
      <c r="C1813" s="2" t="str">
        <f>"女"</f>
        <v>女</v>
      </c>
      <c r="D1813" s="2" t="str">
        <f>"1996-10-12"</f>
        <v>1996-10-12</v>
      </c>
    </row>
    <row r="1814" spans="1:4" ht="15.75" customHeight="1" x14ac:dyDescent="0.2">
      <c r="A1814" s="2" t="s">
        <v>44</v>
      </c>
      <c r="B1814" s="2" t="str">
        <f>"王剑英"</f>
        <v>王剑英</v>
      </c>
      <c r="C1814" s="2" t="str">
        <f>"男"</f>
        <v>男</v>
      </c>
      <c r="D1814" s="2" t="str">
        <f>"1990-10-18"</f>
        <v>1990-10-18</v>
      </c>
    </row>
    <row r="1815" spans="1:4" ht="15.75" customHeight="1" x14ac:dyDescent="0.2">
      <c r="A1815" s="2" t="s">
        <v>37</v>
      </c>
      <c r="B1815" s="2" t="str">
        <f>"张峻伟"</f>
        <v>张峻伟</v>
      </c>
      <c r="C1815" s="2" t="str">
        <f>"男"</f>
        <v>男</v>
      </c>
      <c r="D1815" s="2" t="str">
        <f>"1992-06-30"</f>
        <v>1992-06-30</v>
      </c>
    </row>
    <row r="1816" spans="1:4" ht="15.75" customHeight="1" x14ac:dyDescent="0.2">
      <c r="A1816" s="2" t="s">
        <v>8</v>
      </c>
      <c r="B1816" s="2" t="str">
        <f>"肖贻凯"</f>
        <v>肖贻凯</v>
      </c>
      <c r="C1816" s="2" t="str">
        <f>"男"</f>
        <v>男</v>
      </c>
      <c r="D1816" s="2" t="str">
        <f>"1993-04-05"</f>
        <v>1993-04-05</v>
      </c>
    </row>
    <row r="1817" spans="1:4" ht="15.75" customHeight="1" x14ac:dyDescent="0.2">
      <c r="A1817" s="2" t="s">
        <v>22</v>
      </c>
      <c r="B1817" s="2" t="str">
        <f>"陈新智"</f>
        <v>陈新智</v>
      </c>
      <c r="C1817" s="2" t="str">
        <f>"女"</f>
        <v>女</v>
      </c>
      <c r="D1817" s="2" t="str">
        <f>"1994-10-19"</f>
        <v>1994-10-19</v>
      </c>
    </row>
    <row r="1818" spans="1:4" ht="15.75" customHeight="1" x14ac:dyDescent="0.2">
      <c r="A1818" s="2" t="s">
        <v>36</v>
      </c>
      <c r="B1818" s="2" t="str">
        <f>"龚泰穗"</f>
        <v>龚泰穗</v>
      </c>
      <c r="C1818" s="2" t="str">
        <f>"女"</f>
        <v>女</v>
      </c>
      <c r="D1818" s="2" t="str">
        <f>"1993-08-15"</f>
        <v>1993-08-15</v>
      </c>
    </row>
    <row r="1819" spans="1:4" ht="15.75" customHeight="1" x14ac:dyDescent="0.2">
      <c r="A1819" s="2" t="s">
        <v>21</v>
      </c>
      <c r="B1819" s="2" t="str">
        <f>"彭文佳"</f>
        <v>彭文佳</v>
      </c>
      <c r="C1819" s="2" t="str">
        <f>"女"</f>
        <v>女</v>
      </c>
      <c r="D1819" s="2" t="str">
        <f>"1996-08-08"</f>
        <v>1996-08-08</v>
      </c>
    </row>
    <row r="1820" spans="1:4" ht="15.75" customHeight="1" x14ac:dyDescent="0.2">
      <c r="A1820" s="2" t="s">
        <v>20</v>
      </c>
      <c r="B1820" s="2" t="str">
        <f>"向磊"</f>
        <v>向磊</v>
      </c>
      <c r="C1820" s="2" t="str">
        <f>"男"</f>
        <v>男</v>
      </c>
      <c r="D1820" s="2" t="str">
        <f>"1996-09-12"</f>
        <v>1996-09-12</v>
      </c>
    </row>
    <row r="1821" spans="1:4" ht="15.75" customHeight="1" x14ac:dyDescent="0.2">
      <c r="A1821" s="2" t="s">
        <v>42</v>
      </c>
      <c r="B1821" s="2" t="str">
        <f>"向珊"</f>
        <v>向珊</v>
      </c>
      <c r="C1821" s="2" t="str">
        <f>"女"</f>
        <v>女</v>
      </c>
      <c r="D1821" s="2" t="str">
        <f>"1990-09-17"</f>
        <v>1990-09-17</v>
      </c>
    </row>
    <row r="1822" spans="1:4" ht="15.75" customHeight="1" x14ac:dyDescent="0.2">
      <c r="A1822" s="2" t="s">
        <v>70</v>
      </c>
      <c r="B1822" s="2" t="str">
        <f>"卜榕娇"</f>
        <v>卜榕娇</v>
      </c>
      <c r="C1822" s="2" t="str">
        <f>"女"</f>
        <v>女</v>
      </c>
      <c r="D1822" s="2" t="str">
        <f>"2000-02-05"</f>
        <v>2000-02-05</v>
      </c>
    </row>
    <row r="1823" spans="1:4" ht="15.75" customHeight="1" x14ac:dyDescent="0.2">
      <c r="A1823" s="2" t="s">
        <v>55</v>
      </c>
      <c r="B1823" s="2" t="str">
        <f>"李聪"</f>
        <v>李聪</v>
      </c>
      <c r="C1823" s="2" t="str">
        <f>"女"</f>
        <v>女</v>
      </c>
      <c r="D1823" s="2" t="str">
        <f>"1998-11-25"</f>
        <v>1998-11-25</v>
      </c>
    </row>
    <row r="1824" spans="1:4" ht="15.75" customHeight="1" x14ac:dyDescent="0.2">
      <c r="A1824" s="2" t="s">
        <v>36</v>
      </c>
      <c r="B1824" s="2" t="str">
        <f>"肖鸿梦"</f>
        <v>肖鸿梦</v>
      </c>
      <c r="C1824" s="2" t="str">
        <f>"女"</f>
        <v>女</v>
      </c>
      <c r="D1824" s="2" t="str">
        <f>"1999-04-29"</f>
        <v>1999-04-29</v>
      </c>
    </row>
    <row r="1825" spans="1:4" ht="15.75" customHeight="1" x14ac:dyDescent="0.2">
      <c r="A1825" s="2" t="s">
        <v>70</v>
      </c>
      <c r="B1825" s="2" t="str">
        <f>"杨义"</f>
        <v>杨义</v>
      </c>
      <c r="C1825" s="2" t="str">
        <f>"男"</f>
        <v>男</v>
      </c>
      <c r="D1825" s="2" t="str">
        <f>"1988-07-06"</f>
        <v>1988-07-06</v>
      </c>
    </row>
    <row r="1826" spans="1:4" ht="15.75" customHeight="1" x14ac:dyDescent="0.2">
      <c r="A1826" s="2" t="s">
        <v>55</v>
      </c>
      <c r="B1826" s="2" t="str">
        <f>"罗梓萱"</f>
        <v>罗梓萱</v>
      </c>
      <c r="C1826" s="2" t="str">
        <f t="shared" ref="C1826:C1832" si="26">"女"</f>
        <v>女</v>
      </c>
      <c r="D1826" s="2" t="str">
        <f>"1998-01-06"</f>
        <v>1998-01-06</v>
      </c>
    </row>
    <row r="1827" spans="1:4" ht="15.75" customHeight="1" x14ac:dyDescent="0.2">
      <c r="A1827" s="2" t="s">
        <v>24</v>
      </c>
      <c r="B1827" s="2" t="str">
        <f>"韩颖"</f>
        <v>韩颖</v>
      </c>
      <c r="C1827" s="2" t="str">
        <f t="shared" si="26"/>
        <v>女</v>
      </c>
      <c r="D1827" s="2" t="str">
        <f>"1995-07-15"</f>
        <v>1995-07-15</v>
      </c>
    </row>
    <row r="1828" spans="1:4" ht="15.75" customHeight="1" x14ac:dyDescent="0.2">
      <c r="A1828" s="2" t="s">
        <v>12</v>
      </c>
      <c r="B1828" s="2" t="str">
        <f>"魏剑芸"</f>
        <v>魏剑芸</v>
      </c>
      <c r="C1828" s="2" t="str">
        <f t="shared" si="26"/>
        <v>女</v>
      </c>
      <c r="D1828" s="2" t="str">
        <f>"1994-05-06"</f>
        <v>1994-05-06</v>
      </c>
    </row>
    <row r="1829" spans="1:4" ht="15.75" customHeight="1" x14ac:dyDescent="0.2">
      <c r="A1829" s="2" t="s">
        <v>36</v>
      </c>
      <c r="B1829" s="2" t="str">
        <f>"杨田慧子"</f>
        <v>杨田慧子</v>
      </c>
      <c r="C1829" s="2" t="str">
        <f t="shared" si="26"/>
        <v>女</v>
      </c>
      <c r="D1829" s="2" t="str">
        <f>"1998-01-08"</f>
        <v>1998-01-08</v>
      </c>
    </row>
    <row r="1830" spans="1:4" ht="15.75" customHeight="1" x14ac:dyDescent="0.2">
      <c r="A1830" s="2" t="s">
        <v>55</v>
      </c>
      <c r="B1830" s="2" t="str">
        <f>"李丹"</f>
        <v>李丹</v>
      </c>
      <c r="C1830" s="2" t="str">
        <f t="shared" si="26"/>
        <v>女</v>
      </c>
      <c r="D1830" s="2" t="str">
        <f>"1993-01-19"</f>
        <v>1993-01-19</v>
      </c>
    </row>
    <row r="1831" spans="1:4" ht="15.75" customHeight="1" x14ac:dyDescent="0.2">
      <c r="A1831" s="2" t="s">
        <v>26</v>
      </c>
      <c r="B1831" s="2" t="str">
        <f>"李静雯"</f>
        <v>李静雯</v>
      </c>
      <c r="C1831" s="2" t="str">
        <f t="shared" si="26"/>
        <v>女</v>
      </c>
      <c r="D1831" s="2" t="str">
        <f>"1988-11-02"</f>
        <v>1988-11-02</v>
      </c>
    </row>
    <row r="1832" spans="1:4" ht="15.75" customHeight="1" x14ac:dyDescent="0.2">
      <c r="A1832" s="2" t="s">
        <v>52</v>
      </c>
      <c r="B1832" s="2" t="str">
        <f>"徐欢"</f>
        <v>徐欢</v>
      </c>
      <c r="C1832" s="2" t="str">
        <f t="shared" si="26"/>
        <v>女</v>
      </c>
      <c r="D1832" s="2" t="str">
        <f>"1992-09-07"</f>
        <v>1992-09-07</v>
      </c>
    </row>
    <row r="1833" spans="1:4" ht="15.75" customHeight="1" x14ac:dyDescent="0.2">
      <c r="A1833" s="2" t="s">
        <v>29</v>
      </c>
      <c r="B1833" s="2" t="str">
        <f>"高鸿"</f>
        <v>高鸿</v>
      </c>
      <c r="C1833" s="2" t="str">
        <f>"男"</f>
        <v>男</v>
      </c>
      <c r="D1833" s="2" t="str">
        <f>"1994-11-17"</f>
        <v>1994-11-17</v>
      </c>
    </row>
    <row r="1834" spans="1:4" ht="15.75" customHeight="1" x14ac:dyDescent="0.2">
      <c r="A1834" s="2" t="s">
        <v>36</v>
      </c>
      <c r="B1834" s="2" t="str">
        <f>"王鑫波"</f>
        <v>王鑫波</v>
      </c>
      <c r="C1834" s="2" t="str">
        <f>"女"</f>
        <v>女</v>
      </c>
      <c r="D1834" s="2" t="str">
        <f>"1998-02-18"</f>
        <v>1998-02-18</v>
      </c>
    </row>
    <row r="1835" spans="1:4" ht="15.75" customHeight="1" x14ac:dyDescent="0.2">
      <c r="A1835" s="2" t="s">
        <v>18</v>
      </c>
      <c r="B1835" s="2" t="str">
        <f>"邱小红"</f>
        <v>邱小红</v>
      </c>
      <c r="C1835" s="2" t="str">
        <f>"女"</f>
        <v>女</v>
      </c>
      <c r="D1835" s="2" t="str">
        <f>"1996-08-15"</f>
        <v>1996-08-15</v>
      </c>
    </row>
    <row r="1836" spans="1:4" ht="15.75" customHeight="1" x14ac:dyDescent="0.2">
      <c r="A1836" s="2" t="s">
        <v>22</v>
      </c>
      <c r="B1836" s="2" t="str">
        <f>"雷贻会"</f>
        <v>雷贻会</v>
      </c>
      <c r="C1836" s="2" t="str">
        <f>"女"</f>
        <v>女</v>
      </c>
      <c r="D1836" s="2" t="str">
        <f>"1994-11-26"</f>
        <v>1994-11-26</v>
      </c>
    </row>
    <row r="1837" spans="1:4" ht="15.75" customHeight="1" x14ac:dyDescent="0.2">
      <c r="A1837" s="2" t="s">
        <v>28</v>
      </c>
      <c r="B1837" s="2" t="str">
        <f>"彭力"</f>
        <v>彭力</v>
      </c>
      <c r="C1837" s="2" t="str">
        <f>"女"</f>
        <v>女</v>
      </c>
      <c r="D1837" s="2" t="str">
        <f>"1992-06-05"</f>
        <v>1992-06-05</v>
      </c>
    </row>
    <row r="1838" spans="1:4" ht="15.75" customHeight="1" x14ac:dyDescent="0.2">
      <c r="A1838" s="2" t="s">
        <v>51</v>
      </c>
      <c r="B1838" s="2" t="str">
        <f>"李倩妮"</f>
        <v>李倩妮</v>
      </c>
      <c r="C1838" s="2" t="str">
        <f>"女"</f>
        <v>女</v>
      </c>
      <c r="D1838" s="2" t="str">
        <f>"1993-11-19"</f>
        <v>1993-11-19</v>
      </c>
    </row>
    <row r="1839" spans="1:4" ht="15.75" customHeight="1" x14ac:dyDescent="0.2">
      <c r="A1839" s="2" t="s">
        <v>15</v>
      </c>
      <c r="B1839" s="2" t="str">
        <f>"李震槐"</f>
        <v>李震槐</v>
      </c>
      <c r="C1839" s="2" t="str">
        <f>"男"</f>
        <v>男</v>
      </c>
      <c r="D1839" s="2" t="str">
        <f>"1996-06-02"</f>
        <v>1996-06-02</v>
      </c>
    </row>
    <row r="1840" spans="1:4" ht="15.75" customHeight="1" x14ac:dyDescent="0.2">
      <c r="A1840" s="2" t="s">
        <v>42</v>
      </c>
      <c r="B1840" s="2" t="str">
        <f>"孔玉"</f>
        <v>孔玉</v>
      </c>
      <c r="C1840" s="2" t="str">
        <f>"男"</f>
        <v>男</v>
      </c>
      <c r="D1840" s="2" t="str">
        <f>"1995-06-13"</f>
        <v>1995-06-13</v>
      </c>
    </row>
    <row r="1841" spans="1:4" ht="15.75" customHeight="1" x14ac:dyDescent="0.2">
      <c r="A1841" s="2" t="s">
        <v>42</v>
      </c>
      <c r="B1841" s="2" t="str">
        <f>"罗锦相"</f>
        <v>罗锦相</v>
      </c>
      <c r="C1841" s="2" t="str">
        <f>"男"</f>
        <v>男</v>
      </c>
      <c r="D1841" s="2" t="str">
        <f>"1986-09-09"</f>
        <v>1986-09-09</v>
      </c>
    </row>
    <row r="1842" spans="1:4" ht="15.75" customHeight="1" x14ac:dyDescent="0.2">
      <c r="A1842" s="2" t="s">
        <v>36</v>
      </c>
      <c r="B1842" s="2" t="str">
        <f>"黄培"</f>
        <v>黄培</v>
      </c>
      <c r="C1842" s="2" t="str">
        <f>"男"</f>
        <v>男</v>
      </c>
      <c r="D1842" s="2" t="str">
        <f>"1994-11-21"</f>
        <v>1994-11-21</v>
      </c>
    </row>
    <row r="1843" spans="1:4" ht="15.75" customHeight="1" x14ac:dyDescent="0.2">
      <c r="A1843" s="2" t="s">
        <v>20</v>
      </c>
      <c r="B1843" s="2" t="str">
        <f>"赵佳"</f>
        <v>赵佳</v>
      </c>
      <c r="C1843" s="2" t="str">
        <f>"女"</f>
        <v>女</v>
      </c>
      <c r="D1843" s="2" t="str">
        <f>"1993-01-04"</f>
        <v>1993-01-04</v>
      </c>
    </row>
    <row r="1844" spans="1:4" ht="15.75" customHeight="1" x14ac:dyDescent="0.2">
      <c r="A1844" s="2" t="s">
        <v>9</v>
      </c>
      <c r="B1844" s="2" t="str">
        <f>"谭杰"</f>
        <v>谭杰</v>
      </c>
      <c r="C1844" s="2" t="str">
        <f>"男"</f>
        <v>男</v>
      </c>
      <c r="D1844" s="2" t="str">
        <f>"1987-09-29"</f>
        <v>1987-09-29</v>
      </c>
    </row>
    <row r="1845" spans="1:4" ht="15.75" customHeight="1" x14ac:dyDescent="0.2">
      <c r="A1845" s="2" t="s">
        <v>17</v>
      </c>
      <c r="B1845" s="2" t="str">
        <f>"杨婉培"</f>
        <v>杨婉培</v>
      </c>
      <c r="C1845" s="2" t="str">
        <f>"女"</f>
        <v>女</v>
      </c>
      <c r="D1845" s="2" t="str">
        <f>"1997-06-19"</f>
        <v>1997-06-19</v>
      </c>
    </row>
    <row r="1846" spans="1:4" ht="15.75" customHeight="1" x14ac:dyDescent="0.2">
      <c r="A1846" s="2" t="s">
        <v>57</v>
      </c>
      <c r="B1846" s="2" t="str">
        <f>"罗琳琳"</f>
        <v>罗琳琳</v>
      </c>
      <c r="C1846" s="2" t="str">
        <f>"女"</f>
        <v>女</v>
      </c>
      <c r="D1846" s="2" t="str">
        <f>"1997-06-10"</f>
        <v>1997-06-10</v>
      </c>
    </row>
    <row r="1847" spans="1:4" ht="15.75" customHeight="1" x14ac:dyDescent="0.2">
      <c r="A1847" s="2" t="s">
        <v>8</v>
      </c>
      <c r="B1847" s="2" t="str">
        <f>"汪靖松"</f>
        <v>汪靖松</v>
      </c>
      <c r="C1847" s="2" t="str">
        <f>"男"</f>
        <v>男</v>
      </c>
      <c r="D1847" s="2" t="str">
        <f>"1996-10-15"</f>
        <v>1996-10-15</v>
      </c>
    </row>
    <row r="1848" spans="1:4" ht="15.75" customHeight="1" x14ac:dyDescent="0.2">
      <c r="A1848" s="2" t="s">
        <v>9</v>
      </c>
      <c r="B1848" s="2" t="str">
        <f>"刘原君"</f>
        <v>刘原君</v>
      </c>
      <c r="C1848" s="2" t="str">
        <f>"男"</f>
        <v>男</v>
      </c>
      <c r="D1848" s="2" t="str">
        <f>"1994-06-17"</f>
        <v>1994-06-17</v>
      </c>
    </row>
    <row r="1849" spans="1:4" ht="15.75" customHeight="1" x14ac:dyDescent="0.2">
      <c r="A1849" s="2" t="s">
        <v>65</v>
      </c>
      <c r="B1849" s="2" t="str">
        <f>"颜婧"</f>
        <v>颜婧</v>
      </c>
      <c r="C1849" s="2" t="str">
        <f>"女"</f>
        <v>女</v>
      </c>
      <c r="D1849" s="2" t="str">
        <f>"1992-08-22"</f>
        <v>1992-08-22</v>
      </c>
    </row>
    <row r="1850" spans="1:4" ht="15.75" customHeight="1" x14ac:dyDescent="0.2">
      <c r="A1850" s="2" t="s">
        <v>20</v>
      </c>
      <c r="B1850" s="2" t="str">
        <f>"曹芊"</f>
        <v>曹芊</v>
      </c>
      <c r="C1850" s="2" t="str">
        <f>"女"</f>
        <v>女</v>
      </c>
      <c r="D1850" s="2" t="str">
        <f>"1995-06-16"</f>
        <v>1995-06-16</v>
      </c>
    </row>
    <row r="1851" spans="1:4" ht="15.75" customHeight="1" x14ac:dyDescent="0.2">
      <c r="A1851" s="2" t="s">
        <v>48</v>
      </c>
      <c r="B1851" s="2" t="str">
        <f>"张桂芬"</f>
        <v>张桂芬</v>
      </c>
      <c r="C1851" s="2" t="str">
        <f>"男"</f>
        <v>男</v>
      </c>
      <c r="D1851" s="2" t="str">
        <f>"1996-01-15"</f>
        <v>1996-01-15</v>
      </c>
    </row>
    <row r="1852" spans="1:4" ht="15.75" customHeight="1" x14ac:dyDescent="0.2">
      <c r="A1852" s="2" t="s">
        <v>8</v>
      </c>
      <c r="B1852" s="2" t="str">
        <f>"卜新林"</f>
        <v>卜新林</v>
      </c>
      <c r="C1852" s="2" t="str">
        <f>"男"</f>
        <v>男</v>
      </c>
      <c r="D1852" s="2" t="str">
        <f>"1992-07-12"</f>
        <v>1992-07-12</v>
      </c>
    </row>
    <row r="1853" spans="1:4" ht="15.75" customHeight="1" x14ac:dyDescent="0.2">
      <c r="A1853" s="2" t="s">
        <v>48</v>
      </c>
      <c r="B1853" s="2" t="str">
        <f>"胡旭"</f>
        <v>胡旭</v>
      </c>
      <c r="C1853" s="2" t="str">
        <f>"男"</f>
        <v>男</v>
      </c>
      <c r="D1853" s="2" t="str">
        <f>"1988-11-26"</f>
        <v>1988-11-26</v>
      </c>
    </row>
    <row r="1854" spans="1:4" ht="15.75" customHeight="1" x14ac:dyDescent="0.2">
      <c r="A1854" s="2" t="s">
        <v>49</v>
      </c>
      <c r="B1854" s="2" t="str">
        <f>"周书仁"</f>
        <v>周书仁</v>
      </c>
      <c r="C1854" s="2" t="str">
        <f>"女"</f>
        <v>女</v>
      </c>
      <c r="D1854" s="2" t="str">
        <f>"1993-03-03"</f>
        <v>1993-03-03</v>
      </c>
    </row>
    <row r="1855" spans="1:4" ht="15.75" customHeight="1" x14ac:dyDescent="0.2">
      <c r="A1855" s="2" t="s">
        <v>15</v>
      </c>
      <c r="B1855" s="2" t="str">
        <f>"王依雯"</f>
        <v>王依雯</v>
      </c>
      <c r="C1855" s="2" t="str">
        <f>"女"</f>
        <v>女</v>
      </c>
      <c r="D1855" s="2" t="str">
        <f>"1993-06-19"</f>
        <v>1993-06-19</v>
      </c>
    </row>
    <row r="1856" spans="1:4" ht="15.75" customHeight="1" x14ac:dyDescent="0.2">
      <c r="A1856" s="2" t="s">
        <v>66</v>
      </c>
      <c r="B1856" s="2" t="str">
        <f>"曾帅"</f>
        <v>曾帅</v>
      </c>
      <c r="C1856" s="2" t="str">
        <f>"男"</f>
        <v>男</v>
      </c>
      <c r="D1856" s="2" t="str">
        <f>"1991-12-02"</f>
        <v>1991-12-02</v>
      </c>
    </row>
    <row r="1857" spans="1:4" ht="15.75" customHeight="1" x14ac:dyDescent="0.2">
      <c r="A1857" s="2" t="s">
        <v>57</v>
      </c>
      <c r="B1857" s="2" t="str">
        <f>"颜含宇"</f>
        <v>颜含宇</v>
      </c>
      <c r="C1857" s="2" t="str">
        <f>"男"</f>
        <v>男</v>
      </c>
      <c r="D1857" s="2" t="str">
        <f>"1998-08-10"</f>
        <v>1998-08-10</v>
      </c>
    </row>
    <row r="1858" spans="1:4" ht="15.75" customHeight="1" x14ac:dyDescent="0.2">
      <c r="A1858" s="2" t="s">
        <v>50</v>
      </c>
      <c r="B1858" s="2" t="str">
        <f>"程秋蕾"</f>
        <v>程秋蕾</v>
      </c>
      <c r="C1858" s="2" t="str">
        <f>"女"</f>
        <v>女</v>
      </c>
      <c r="D1858" s="2" t="str">
        <f>"1995-09-18"</f>
        <v>1995-09-18</v>
      </c>
    </row>
    <row r="1859" spans="1:4" ht="15.75" customHeight="1" x14ac:dyDescent="0.2">
      <c r="A1859" s="2" t="s">
        <v>13</v>
      </c>
      <c r="B1859" s="2" t="str">
        <f>"王丽娟"</f>
        <v>王丽娟</v>
      </c>
      <c r="C1859" s="2" t="str">
        <f>"女"</f>
        <v>女</v>
      </c>
      <c r="D1859" s="2" t="str">
        <f>"1986-06-10"</f>
        <v>1986-06-10</v>
      </c>
    </row>
    <row r="1860" spans="1:4" ht="15.75" customHeight="1" x14ac:dyDescent="0.2">
      <c r="A1860" s="2" t="s">
        <v>61</v>
      </c>
      <c r="B1860" s="2" t="str">
        <f>"刘湘敏"</f>
        <v>刘湘敏</v>
      </c>
      <c r="C1860" s="2" t="str">
        <f>"女"</f>
        <v>女</v>
      </c>
      <c r="D1860" s="2" t="str">
        <f>"1998-07-15"</f>
        <v>1998-07-15</v>
      </c>
    </row>
    <row r="1861" spans="1:4" ht="15.75" customHeight="1" x14ac:dyDescent="0.2">
      <c r="A1861" s="2" t="s">
        <v>41</v>
      </c>
      <c r="B1861" s="2" t="str">
        <f>"李秋娟"</f>
        <v>李秋娟</v>
      </c>
      <c r="C1861" s="2" t="str">
        <f>"女"</f>
        <v>女</v>
      </c>
      <c r="D1861" s="2" t="str">
        <f>"1997-09-22"</f>
        <v>1997-09-22</v>
      </c>
    </row>
    <row r="1862" spans="1:4" ht="15.75" customHeight="1" x14ac:dyDescent="0.2">
      <c r="A1862" s="2" t="s">
        <v>14</v>
      </c>
      <c r="B1862" s="2" t="str">
        <f>"王潇"</f>
        <v>王潇</v>
      </c>
      <c r="C1862" s="2" t="str">
        <f>"男"</f>
        <v>男</v>
      </c>
      <c r="D1862" s="2" t="str">
        <f>"1988-11-28"</f>
        <v>1988-11-28</v>
      </c>
    </row>
    <row r="1863" spans="1:4" ht="15.75" customHeight="1" x14ac:dyDescent="0.2">
      <c r="A1863" s="2" t="s">
        <v>29</v>
      </c>
      <c r="B1863" s="2" t="str">
        <f>"甘文婷"</f>
        <v>甘文婷</v>
      </c>
      <c r="C1863" s="2" t="str">
        <f>"女"</f>
        <v>女</v>
      </c>
      <c r="D1863" s="2" t="str">
        <f>"1992-09-06"</f>
        <v>1992-09-06</v>
      </c>
    </row>
    <row r="1864" spans="1:4" ht="15.75" customHeight="1" x14ac:dyDescent="0.2">
      <c r="A1864" s="2" t="s">
        <v>42</v>
      </c>
      <c r="B1864" s="2" t="str">
        <f>"姜翊"</f>
        <v>姜翊</v>
      </c>
      <c r="C1864" s="2" t="str">
        <f>"女"</f>
        <v>女</v>
      </c>
      <c r="D1864" s="2" t="str">
        <f>"1988-09-23"</f>
        <v>1988-09-23</v>
      </c>
    </row>
    <row r="1865" spans="1:4" ht="15.75" customHeight="1" x14ac:dyDescent="0.2">
      <c r="A1865" s="2" t="s">
        <v>13</v>
      </c>
      <c r="B1865" s="2" t="str">
        <f>"周羽"</f>
        <v>周羽</v>
      </c>
      <c r="C1865" s="2" t="str">
        <f>"男"</f>
        <v>男</v>
      </c>
      <c r="D1865" s="2" t="str">
        <f>"1996-11-12"</f>
        <v>1996-11-12</v>
      </c>
    </row>
    <row r="1866" spans="1:4" ht="15.75" customHeight="1" x14ac:dyDescent="0.2">
      <c r="A1866" s="2" t="s">
        <v>15</v>
      </c>
      <c r="B1866" s="2" t="str">
        <f>"李茜"</f>
        <v>李茜</v>
      </c>
      <c r="C1866" s="2" t="str">
        <f>"女"</f>
        <v>女</v>
      </c>
      <c r="D1866" s="2" t="str">
        <f>"1999-10-09"</f>
        <v>1999-10-09</v>
      </c>
    </row>
    <row r="1867" spans="1:4" ht="15.75" customHeight="1" x14ac:dyDescent="0.2">
      <c r="A1867" s="2" t="s">
        <v>52</v>
      </c>
      <c r="B1867" s="2" t="str">
        <f>"郭炜"</f>
        <v>郭炜</v>
      </c>
      <c r="C1867" s="2" t="str">
        <f>"男"</f>
        <v>男</v>
      </c>
      <c r="D1867" s="2" t="str">
        <f>"1995-11-14"</f>
        <v>1995-11-14</v>
      </c>
    </row>
    <row r="1868" spans="1:4" ht="15.75" customHeight="1" x14ac:dyDescent="0.2">
      <c r="A1868" s="2" t="s">
        <v>22</v>
      </c>
      <c r="B1868" s="2" t="str">
        <f>"徐佳"</f>
        <v>徐佳</v>
      </c>
      <c r="C1868" s="2" t="str">
        <f>"女"</f>
        <v>女</v>
      </c>
      <c r="D1868" s="2" t="str">
        <f>"1997-09-03"</f>
        <v>1997-09-03</v>
      </c>
    </row>
    <row r="1869" spans="1:4" ht="15.75" customHeight="1" x14ac:dyDescent="0.2">
      <c r="A1869" s="2" t="s">
        <v>28</v>
      </c>
      <c r="B1869" s="2" t="str">
        <f>"钱佳琪"</f>
        <v>钱佳琪</v>
      </c>
      <c r="C1869" s="2" t="str">
        <f>"男"</f>
        <v>男</v>
      </c>
      <c r="D1869" s="2" t="str">
        <f>"1997-07-22"</f>
        <v>1997-07-22</v>
      </c>
    </row>
    <row r="1870" spans="1:4" ht="15.75" customHeight="1" x14ac:dyDescent="0.2">
      <c r="A1870" s="2" t="s">
        <v>48</v>
      </c>
      <c r="B1870" s="2" t="str">
        <f>"杨子梦"</f>
        <v>杨子梦</v>
      </c>
      <c r="C1870" s="2" t="str">
        <f>"男"</f>
        <v>男</v>
      </c>
      <c r="D1870" s="2" t="str">
        <f>"1996-08-04"</f>
        <v>1996-08-04</v>
      </c>
    </row>
    <row r="1871" spans="1:4" ht="15.75" customHeight="1" x14ac:dyDescent="0.2">
      <c r="A1871" s="2" t="s">
        <v>42</v>
      </c>
      <c r="B1871" s="2" t="str">
        <f>"杨杰"</f>
        <v>杨杰</v>
      </c>
      <c r="C1871" s="2" t="str">
        <f>"男"</f>
        <v>男</v>
      </c>
      <c r="D1871" s="2" t="str">
        <f>"1987-07-11"</f>
        <v>1987-07-11</v>
      </c>
    </row>
    <row r="1872" spans="1:4" ht="15.75" customHeight="1" x14ac:dyDescent="0.2">
      <c r="A1872" s="2" t="s">
        <v>24</v>
      </c>
      <c r="B1872" s="2" t="str">
        <f>"赵欣雅"</f>
        <v>赵欣雅</v>
      </c>
      <c r="C1872" s="2" t="str">
        <f>"女"</f>
        <v>女</v>
      </c>
      <c r="D1872" s="2" t="str">
        <f>"1998-01-05"</f>
        <v>1998-01-05</v>
      </c>
    </row>
    <row r="1873" spans="1:4" ht="15.75" customHeight="1" x14ac:dyDescent="0.2">
      <c r="A1873" s="2" t="s">
        <v>29</v>
      </c>
      <c r="B1873" s="2" t="str">
        <f>"李斌"</f>
        <v>李斌</v>
      </c>
      <c r="C1873" s="2" t="str">
        <f>"男"</f>
        <v>男</v>
      </c>
      <c r="D1873" s="2" t="str">
        <f>"1997-01-05"</f>
        <v>1997-01-05</v>
      </c>
    </row>
    <row r="1874" spans="1:4" ht="15.75" customHeight="1" x14ac:dyDescent="0.2">
      <c r="A1874" s="2" t="s">
        <v>20</v>
      </c>
      <c r="B1874" s="2" t="str">
        <f>"于荣川"</f>
        <v>于荣川</v>
      </c>
      <c r="C1874" s="2" t="str">
        <f>"男"</f>
        <v>男</v>
      </c>
      <c r="D1874" s="2" t="str">
        <f>"1997-08-11"</f>
        <v>1997-08-11</v>
      </c>
    </row>
    <row r="1875" spans="1:4" ht="15.75" customHeight="1" x14ac:dyDescent="0.2">
      <c r="A1875" s="2" t="s">
        <v>30</v>
      </c>
      <c r="B1875" s="2" t="str">
        <f>"贾心月"</f>
        <v>贾心月</v>
      </c>
      <c r="C1875" s="2" t="str">
        <f>"女"</f>
        <v>女</v>
      </c>
      <c r="D1875" s="2" t="str">
        <f>"1996-08-08"</f>
        <v>1996-08-08</v>
      </c>
    </row>
    <row r="1876" spans="1:4" ht="15.75" customHeight="1" x14ac:dyDescent="0.2">
      <c r="A1876" s="2" t="s">
        <v>30</v>
      </c>
      <c r="B1876" s="2" t="str">
        <f>"酉谨妤"</f>
        <v>酉谨妤</v>
      </c>
      <c r="C1876" s="2" t="str">
        <f>"女"</f>
        <v>女</v>
      </c>
      <c r="D1876" s="2" t="str">
        <f>"1986-06-18"</f>
        <v>1986-06-18</v>
      </c>
    </row>
    <row r="1877" spans="1:4" ht="15.75" customHeight="1" x14ac:dyDescent="0.2">
      <c r="A1877" s="2" t="s">
        <v>14</v>
      </c>
      <c r="B1877" s="2" t="str">
        <f>"孟莉"</f>
        <v>孟莉</v>
      </c>
      <c r="C1877" s="2" t="str">
        <f>"女"</f>
        <v>女</v>
      </c>
      <c r="D1877" s="2" t="str">
        <f>"1991-04-13"</f>
        <v>1991-04-13</v>
      </c>
    </row>
    <row r="1878" spans="1:4" ht="15.75" customHeight="1" x14ac:dyDescent="0.2">
      <c r="A1878" s="2" t="s">
        <v>48</v>
      </c>
      <c r="B1878" s="2" t="str">
        <f>"邹灵"</f>
        <v>邹灵</v>
      </c>
      <c r="C1878" s="2" t="str">
        <f>"男"</f>
        <v>男</v>
      </c>
      <c r="D1878" s="2" t="str">
        <f>"1987-06-25"</f>
        <v>1987-06-25</v>
      </c>
    </row>
    <row r="1879" spans="1:4" ht="15.75" customHeight="1" x14ac:dyDescent="0.2">
      <c r="A1879" s="2" t="s">
        <v>12</v>
      </c>
      <c r="B1879" s="2" t="str">
        <f>"赵兰"</f>
        <v>赵兰</v>
      </c>
      <c r="C1879" s="2" t="str">
        <f>"女"</f>
        <v>女</v>
      </c>
      <c r="D1879" s="2" t="str">
        <f>"1996-01-07"</f>
        <v>1996-01-07</v>
      </c>
    </row>
    <row r="1880" spans="1:4" ht="15.75" customHeight="1" x14ac:dyDescent="0.2">
      <c r="A1880" s="2" t="s">
        <v>14</v>
      </c>
      <c r="B1880" s="2" t="str">
        <f>"罗美群"</f>
        <v>罗美群</v>
      </c>
      <c r="C1880" s="2" t="str">
        <f>"女"</f>
        <v>女</v>
      </c>
      <c r="D1880" s="2" t="str">
        <f>"1989-02-09"</f>
        <v>1989-02-09</v>
      </c>
    </row>
    <row r="1881" spans="1:4" ht="15.75" customHeight="1" x14ac:dyDescent="0.2">
      <c r="A1881" s="2" t="s">
        <v>33</v>
      </c>
      <c r="B1881" s="2" t="str">
        <f>"周双"</f>
        <v>周双</v>
      </c>
      <c r="C1881" s="2" t="str">
        <f>"男"</f>
        <v>男</v>
      </c>
      <c r="D1881" s="2" t="str">
        <f>"1993-04-22"</f>
        <v>1993-04-22</v>
      </c>
    </row>
    <row r="1882" spans="1:4" ht="15.75" customHeight="1" x14ac:dyDescent="0.2">
      <c r="A1882" s="2" t="s">
        <v>17</v>
      </c>
      <c r="B1882" s="2" t="str">
        <f>"刘镇"</f>
        <v>刘镇</v>
      </c>
      <c r="C1882" s="2" t="str">
        <f>"男"</f>
        <v>男</v>
      </c>
      <c r="D1882" s="2" t="str">
        <f>"1989-04-02"</f>
        <v>1989-04-02</v>
      </c>
    </row>
    <row r="1883" spans="1:4" ht="15.75" customHeight="1" x14ac:dyDescent="0.2">
      <c r="A1883" s="2" t="s">
        <v>48</v>
      </c>
      <c r="B1883" s="2" t="str">
        <f>"聂伟"</f>
        <v>聂伟</v>
      </c>
      <c r="C1883" s="2" t="str">
        <f>"男"</f>
        <v>男</v>
      </c>
      <c r="D1883" s="2" t="str">
        <f>"1996-12-23"</f>
        <v>1996-12-23</v>
      </c>
    </row>
    <row r="1884" spans="1:4" ht="15.75" customHeight="1" x14ac:dyDescent="0.2">
      <c r="A1884" s="2" t="s">
        <v>55</v>
      </c>
      <c r="B1884" s="2" t="str">
        <f>"张琪"</f>
        <v>张琪</v>
      </c>
      <c r="C1884" s="2" t="str">
        <f>"女"</f>
        <v>女</v>
      </c>
      <c r="D1884" s="2" t="str">
        <f>"1994-07-16"</f>
        <v>1994-07-16</v>
      </c>
    </row>
    <row r="1885" spans="1:4" ht="15.75" customHeight="1" x14ac:dyDescent="0.2">
      <c r="A1885" s="2" t="s">
        <v>44</v>
      </c>
      <c r="B1885" s="2" t="str">
        <f>"刘俊"</f>
        <v>刘俊</v>
      </c>
      <c r="C1885" s="2" t="str">
        <f>"男"</f>
        <v>男</v>
      </c>
      <c r="D1885" s="2" t="str">
        <f>"1987-06-27"</f>
        <v>1987-06-27</v>
      </c>
    </row>
    <row r="1886" spans="1:4" ht="15.75" customHeight="1" x14ac:dyDescent="0.2">
      <c r="A1886" s="2" t="s">
        <v>5</v>
      </c>
      <c r="B1886" s="2" t="str">
        <f>"代元明"</f>
        <v>代元明</v>
      </c>
      <c r="C1886" s="2" t="str">
        <f>"男"</f>
        <v>男</v>
      </c>
      <c r="D1886" s="2" t="str">
        <f>"1995-08-31"</f>
        <v>1995-08-31</v>
      </c>
    </row>
    <row r="1887" spans="1:4" ht="15.75" customHeight="1" x14ac:dyDescent="0.2">
      <c r="A1887" s="2" t="s">
        <v>63</v>
      </c>
      <c r="B1887" s="2" t="str">
        <f>"伍星"</f>
        <v>伍星</v>
      </c>
      <c r="C1887" s="2" t="str">
        <f>"男"</f>
        <v>男</v>
      </c>
      <c r="D1887" s="2" t="str">
        <f>"1991-11-03"</f>
        <v>1991-11-03</v>
      </c>
    </row>
    <row r="1888" spans="1:4" ht="15.75" customHeight="1" x14ac:dyDescent="0.2">
      <c r="A1888" s="2" t="s">
        <v>44</v>
      </c>
      <c r="B1888" s="2" t="str">
        <f>"曹启卫"</f>
        <v>曹启卫</v>
      </c>
      <c r="C1888" s="2" t="str">
        <f>"女"</f>
        <v>女</v>
      </c>
      <c r="D1888" s="2" t="str">
        <f>"1998-01-27"</f>
        <v>1998-01-27</v>
      </c>
    </row>
    <row r="1889" spans="1:4" ht="15.75" customHeight="1" x14ac:dyDescent="0.2">
      <c r="A1889" s="2" t="s">
        <v>33</v>
      </c>
      <c r="B1889" s="2" t="str">
        <f>"刘阳阳"</f>
        <v>刘阳阳</v>
      </c>
      <c r="C1889" s="2" t="str">
        <f>"女"</f>
        <v>女</v>
      </c>
      <c r="D1889" s="2" t="str">
        <f>"1991-03-02"</f>
        <v>1991-03-02</v>
      </c>
    </row>
    <row r="1890" spans="1:4" ht="15.75" customHeight="1" x14ac:dyDescent="0.2">
      <c r="A1890" s="2" t="s">
        <v>56</v>
      </c>
      <c r="B1890" s="2" t="str">
        <f>"王艳东"</f>
        <v>王艳东</v>
      </c>
      <c r="C1890" s="2" t="str">
        <f>"女"</f>
        <v>女</v>
      </c>
      <c r="D1890" s="2" t="str">
        <f>"1997-01-15"</f>
        <v>1997-01-15</v>
      </c>
    </row>
    <row r="1891" spans="1:4" ht="15.75" customHeight="1" x14ac:dyDescent="0.2">
      <c r="A1891" s="2" t="s">
        <v>24</v>
      </c>
      <c r="B1891" s="2" t="str">
        <f>"杨兆"</f>
        <v>杨兆</v>
      </c>
      <c r="C1891" s="2" t="str">
        <f>"男"</f>
        <v>男</v>
      </c>
      <c r="D1891" s="2" t="str">
        <f>"1996-05-21"</f>
        <v>1996-05-21</v>
      </c>
    </row>
    <row r="1892" spans="1:4" ht="15.75" customHeight="1" x14ac:dyDescent="0.2">
      <c r="A1892" s="2" t="s">
        <v>24</v>
      </c>
      <c r="B1892" s="2" t="str">
        <f>"刘梓松"</f>
        <v>刘梓松</v>
      </c>
      <c r="C1892" s="2" t="str">
        <f>"男"</f>
        <v>男</v>
      </c>
      <c r="D1892" s="2" t="str">
        <f>"1996-10-09"</f>
        <v>1996-10-09</v>
      </c>
    </row>
    <row r="1893" spans="1:4" ht="15.75" customHeight="1" x14ac:dyDescent="0.2">
      <c r="A1893" s="2" t="s">
        <v>29</v>
      </c>
      <c r="B1893" s="2" t="str">
        <f>"曾梦婷"</f>
        <v>曾梦婷</v>
      </c>
      <c r="C1893" s="2" t="str">
        <f>"女"</f>
        <v>女</v>
      </c>
      <c r="D1893" s="2" t="str">
        <f>"1998-09-25"</f>
        <v>1998-09-25</v>
      </c>
    </row>
    <row r="1894" spans="1:4" ht="15.75" customHeight="1" x14ac:dyDescent="0.2">
      <c r="A1894" s="2" t="s">
        <v>58</v>
      </c>
      <c r="B1894" s="2" t="str">
        <f>"胡菲敏"</f>
        <v>胡菲敏</v>
      </c>
      <c r="C1894" s="2" t="str">
        <f>"女"</f>
        <v>女</v>
      </c>
      <c r="D1894" s="2" t="str">
        <f>"1999-02-27"</f>
        <v>1999-02-27</v>
      </c>
    </row>
    <row r="1895" spans="1:4" ht="15.75" customHeight="1" x14ac:dyDescent="0.2">
      <c r="A1895" s="2" t="s">
        <v>17</v>
      </c>
      <c r="B1895" s="2" t="str">
        <f>"杨航"</f>
        <v>杨航</v>
      </c>
      <c r="C1895" s="2" t="str">
        <f>"男"</f>
        <v>男</v>
      </c>
      <c r="D1895" s="2" t="str">
        <f>"1997-09-30"</f>
        <v>1997-09-30</v>
      </c>
    </row>
    <row r="1896" spans="1:4" ht="15.75" customHeight="1" x14ac:dyDescent="0.2">
      <c r="A1896" s="2" t="s">
        <v>13</v>
      </c>
      <c r="B1896" s="2" t="str">
        <f>"毛耀锐"</f>
        <v>毛耀锐</v>
      </c>
      <c r="C1896" s="2" t="str">
        <f>"男"</f>
        <v>男</v>
      </c>
      <c r="D1896" s="2" t="str">
        <f>"1996-11-18"</f>
        <v>1996-11-18</v>
      </c>
    </row>
    <row r="1897" spans="1:4" ht="15.75" customHeight="1" x14ac:dyDescent="0.2">
      <c r="A1897" s="2" t="s">
        <v>28</v>
      </c>
      <c r="B1897" s="2" t="str">
        <f>"罗琼"</f>
        <v>罗琼</v>
      </c>
      <c r="C1897" s="2" t="str">
        <f>"女"</f>
        <v>女</v>
      </c>
      <c r="D1897" s="2" t="str">
        <f>"1993-01-04"</f>
        <v>1993-01-04</v>
      </c>
    </row>
    <row r="1898" spans="1:4" ht="15.75" customHeight="1" x14ac:dyDescent="0.2">
      <c r="A1898" s="2" t="s">
        <v>5</v>
      </c>
      <c r="B1898" s="2" t="str">
        <f>"黄芳"</f>
        <v>黄芳</v>
      </c>
      <c r="C1898" s="2" t="str">
        <f>"女"</f>
        <v>女</v>
      </c>
      <c r="D1898" s="2" t="str">
        <f>"1995-03-20"</f>
        <v>1995-03-20</v>
      </c>
    </row>
    <row r="1899" spans="1:4" ht="15.75" customHeight="1" x14ac:dyDescent="0.2">
      <c r="A1899" s="2" t="s">
        <v>8</v>
      </c>
      <c r="B1899" s="2" t="str">
        <f>"江军"</f>
        <v>江军</v>
      </c>
      <c r="C1899" s="2" t="str">
        <f>"男"</f>
        <v>男</v>
      </c>
      <c r="D1899" s="2" t="str">
        <f>"1993-10-10"</f>
        <v>1993-10-10</v>
      </c>
    </row>
    <row r="1900" spans="1:4" ht="15.75" customHeight="1" x14ac:dyDescent="0.2">
      <c r="A1900" s="2" t="s">
        <v>61</v>
      </c>
      <c r="B1900" s="2" t="str">
        <f>"宋凤仪"</f>
        <v>宋凤仪</v>
      </c>
      <c r="C1900" s="2" t="str">
        <f>"女"</f>
        <v>女</v>
      </c>
      <c r="D1900" s="2" t="str">
        <f>"1997-11-10"</f>
        <v>1997-11-10</v>
      </c>
    </row>
    <row r="1901" spans="1:4" ht="15.75" customHeight="1" x14ac:dyDescent="0.2">
      <c r="A1901" s="2" t="s">
        <v>13</v>
      </c>
      <c r="B1901" s="2" t="str">
        <f>"guosc"</f>
        <v>guosc</v>
      </c>
      <c r="C1901" s="2" t="str">
        <f>"女"</f>
        <v>女</v>
      </c>
      <c r="D1901" s="2" t="str">
        <f>"1990-03-30"</f>
        <v>1990-03-30</v>
      </c>
    </row>
    <row r="1902" spans="1:4" ht="15.75" customHeight="1" x14ac:dyDescent="0.2">
      <c r="A1902" s="2" t="s">
        <v>18</v>
      </c>
      <c r="B1902" s="2" t="str">
        <f>"宋雨轩"</f>
        <v>宋雨轩</v>
      </c>
      <c r="C1902" s="2" t="str">
        <f>"男"</f>
        <v>男</v>
      </c>
      <c r="D1902" s="2" t="str">
        <f>"1996-03-06"</f>
        <v>1996-03-06</v>
      </c>
    </row>
    <row r="1903" spans="1:4" ht="15.75" customHeight="1" x14ac:dyDescent="0.2">
      <c r="A1903" s="2" t="s">
        <v>59</v>
      </c>
      <c r="B1903" s="2" t="str">
        <f>"曾欣欣"</f>
        <v>曾欣欣</v>
      </c>
      <c r="C1903" s="2" t="str">
        <f>"女"</f>
        <v>女</v>
      </c>
      <c r="D1903" s="2" t="str">
        <f>"1994-09-02"</f>
        <v>1994-09-02</v>
      </c>
    </row>
    <row r="1904" spans="1:4" ht="15.75" customHeight="1" x14ac:dyDescent="0.2">
      <c r="A1904" s="2" t="s">
        <v>31</v>
      </c>
      <c r="B1904" s="2" t="str">
        <f>"蔡星晨"</f>
        <v>蔡星晨</v>
      </c>
      <c r="C1904" s="2" t="str">
        <f>"女"</f>
        <v>女</v>
      </c>
      <c r="D1904" s="2" t="str">
        <f>"1999-01-14"</f>
        <v>1999-01-14</v>
      </c>
    </row>
    <row r="1905" spans="1:4" ht="15.75" customHeight="1" x14ac:dyDescent="0.2">
      <c r="A1905" s="2" t="s">
        <v>57</v>
      </c>
      <c r="B1905" s="2" t="str">
        <f>"吴晟"</f>
        <v>吴晟</v>
      </c>
      <c r="C1905" s="2" t="str">
        <f>"女"</f>
        <v>女</v>
      </c>
      <c r="D1905" s="2" t="str">
        <f>"1997-12-23"</f>
        <v>1997-12-23</v>
      </c>
    </row>
    <row r="1906" spans="1:4" ht="15.75" customHeight="1" x14ac:dyDescent="0.2">
      <c r="A1906" s="2" t="s">
        <v>8</v>
      </c>
      <c r="B1906" s="2" t="str">
        <f>"毛坚"</f>
        <v>毛坚</v>
      </c>
      <c r="C1906" s="2" t="str">
        <f>"男"</f>
        <v>男</v>
      </c>
      <c r="D1906" s="2" t="str">
        <f>"1992-03-28"</f>
        <v>1992-03-28</v>
      </c>
    </row>
    <row r="1907" spans="1:4" ht="15.75" customHeight="1" x14ac:dyDescent="0.2">
      <c r="A1907" s="2" t="s">
        <v>25</v>
      </c>
      <c r="B1907" s="2" t="str">
        <f>"罗钦"</f>
        <v>罗钦</v>
      </c>
      <c r="C1907" s="2" t="str">
        <f>"女"</f>
        <v>女</v>
      </c>
      <c r="D1907" s="2" t="str">
        <f>"1988-06-14"</f>
        <v>1988-06-14</v>
      </c>
    </row>
    <row r="1908" spans="1:4" ht="15.75" customHeight="1" x14ac:dyDescent="0.2">
      <c r="A1908" s="2" t="s">
        <v>11</v>
      </c>
      <c r="B1908" s="2" t="str">
        <f>"王浩群"</f>
        <v>王浩群</v>
      </c>
      <c r="C1908" s="2" t="str">
        <f>"男"</f>
        <v>男</v>
      </c>
      <c r="D1908" s="2" t="str">
        <f>"1996-02-11"</f>
        <v>1996-02-11</v>
      </c>
    </row>
    <row r="1909" spans="1:4" ht="15.75" customHeight="1" x14ac:dyDescent="0.2">
      <c r="A1909" s="2" t="s">
        <v>61</v>
      </c>
      <c r="B1909" s="2" t="str">
        <f>"王子锐"</f>
        <v>王子锐</v>
      </c>
      <c r="C1909" s="2" t="str">
        <f>"男"</f>
        <v>男</v>
      </c>
      <c r="D1909" s="2" t="str">
        <f>"1997-08-30"</f>
        <v>1997-08-30</v>
      </c>
    </row>
    <row r="1910" spans="1:4" ht="15.75" customHeight="1" x14ac:dyDescent="0.2">
      <c r="A1910" s="2" t="s">
        <v>36</v>
      </c>
      <c r="B1910" s="2" t="str">
        <f>"文顺"</f>
        <v>文顺</v>
      </c>
      <c r="C1910" s="2" t="str">
        <f>"男"</f>
        <v>男</v>
      </c>
      <c r="D1910" s="2" t="str">
        <f>"1994-01-18"</f>
        <v>1994-01-18</v>
      </c>
    </row>
    <row r="1911" spans="1:4" ht="15.75" customHeight="1" x14ac:dyDescent="0.2">
      <c r="A1911" s="2" t="s">
        <v>51</v>
      </c>
      <c r="B1911" s="2" t="str">
        <f>"贵璇"</f>
        <v>贵璇</v>
      </c>
      <c r="C1911" s="2" t="str">
        <f>"女"</f>
        <v>女</v>
      </c>
      <c r="D1911" s="2" t="str">
        <f>"1997-02-18"</f>
        <v>1997-02-18</v>
      </c>
    </row>
    <row r="1912" spans="1:4" ht="15.75" customHeight="1" x14ac:dyDescent="0.2">
      <c r="A1912" s="2" t="s">
        <v>8</v>
      </c>
      <c r="B1912" s="2" t="str">
        <f>"翟千军"</f>
        <v>翟千军</v>
      </c>
      <c r="C1912" s="2" t="str">
        <f>"男"</f>
        <v>男</v>
      </c>
      <c r="D1912" s="2" t="str">
        <f>"1994-08-01"</f>
        <v>1994-08-01</v>
      </c>
    </row>
    <row r="1913" spans="1:4" ht="15.75" customHeight="1" x14ac:dyDescent="0.2">
      <c r="A1913" s="2" t="s">
        <v>13</v>
      </c>
      <c r="B1913" s="2" t="str">
        <f>"梅晋福"</f>
        <v>梅晋福</v>
      </c>
      <c r="C1913" s="2" t="str">
        <f>"男"</f>
        <v>男</v>
      </c>
      <c r="D1913" s="2" t="str">
        <f>"1998-11-11"</f>
        <v>1998-11-11</v>
      </c>
    </row>
    <row r="1914" spans="1:4" ht="15.75" customHeight="1" x14ac:dyDescent="0.2">
      <c r="A1914" s="2" t="s">
        <v>31</v>
      </c>
      <c r="B1914" s="2" t="str">
        <f>"鲁庆玲"</f>
        <v>鲁庆玲</v>
      </c>
      <c r="C1914" s="2" t="str">
        <f>"女"</f>
        <v>女</v>
      </c>
      <c r="D1914" s="2" t="str">
        <f>"1996-11-29"</f>
        <v>1996-11-29</v>
      </c>
    </row>
    <row r="1915" spans="1:4" ht="15.75" customHeight="1" x14ac:dyDescent="0.2">
      <c r="A1915" s="2" t="s">
        <v>57</v>
      </c>
      <c r="B1915" s="2" t="str">
        <f>"谭鑫"</f>
        <v>谭鑫</v>
      </c>
      <c r="C1915" s="2" t="str">
        <f>"女"</f>
        <v>女</v>
      </c>
      <c r="D1915" s="2" t="str">
        <f>"1995-02-18"</f>
        <v>1995-02-18</v>
      </c>
    </row>
    <row r="1916" spans="1:4" ht="15.75" customHeight="1" x14ac:dyDescent="0.2">
      <c r="A1916" s="2" t="s">
        <v>61</v>
      </c>
      <c r="B1916" s="2" t="str">
        <f>"唐彬"</f>
        <v>唐彬</v>
      </c>
      <c r="C1916" s="2" t="str">
        <f>"男"</f>
        <v>男</v>
      </c>
      <c r="D1916" s="2" t="str">
        <f>"1996-12-28"</f>
        <v>1996-12-28</v>
      </c>
    </row>
    <row r="1917" spans="1:4" ht="15.75" customHeight="1" x14ac:dyDescent="0.2">
      <c r="A1917" s="2" t="s">
        <v>42</v>
      </c>
      <c r="B1917" s="2" t="str">
        <f>"刘倩"</f>
        <v>刘倩</v>
      </c>
      <c r="C1917" s="2" t="str">
        <f t="shared" ref="C1917:C1922" si="27">"女"</f>
        <v>女</v>
      </c>
      <c r="D1917" s="2" t="str">
        <f>"1995-12-13"</f>
        <v>1995-12-13</v>
      </c>
    </row>
    <row r="1918" spans="1:4" ht="15.75" customHeight="1" x14ac:dyDescent="0.2">
      <c r="A1918" s="2" t="s">
        <v>65</v>
      </c>
      <c r="B1918" s="2" t="str">
        <f>"向春芝"</f>
        <v>向春芝</v>
      </c>
      <c r="C1918" s="2" t="str">
        <f t="shared" si="27"/>
        <v>女</v>
      </c>
      <c r="D1918" s="2" t="str">
        <f>"1994-01-04"</f>
        <v>1994-01-04</v>
      </c>
    </row>
    <row r="1919" spans="1:4" ht="15.75" customHeight="1" x14ac:dyDescent="0.2">
      <c r="A1919" s="2" t="s">
        <v>33</v>
      </c>
      <c r="B1919" s="2" t="str">
        <f>"田远萍"</f>
        <v>田远萍</v>
      </c>
      <c r="C1919" s="2" t="str">
        <f t="shared" si="27"/>
        <v>女</v>
      </c>
      <c r="D1919" s="2" t="str">
        <f>"1997-11-13"</f>
        <v>1997-11-13</v>
      </c>
    </row>
    <row r="1920" spans="1:4" ht="15.75" customHeight="1" x14ac:dyDescent="0.2">
      <c r="A1920" s="2" t="s">
        <v>14</v>
      </c>
      <c r="B1920" s="2" t="str">
        <f>"任小双"</f>
        <v>任小双</v>
      </c>
      <c r="C1920" s="2" t="str">
        <f t="shared" si="27"/>
        <v>女</v>
      </c>
      <c r="D1920" s="2" t="str">
        <f>"1986-08-11"</f>
        <v>1986-08-11</v>
      </c>
    </row>
    <row r="1921" spans="1:4" ht="15.75" customHeight="1" x14ac:dyDescent="0.2">
      <c r="A1921" s="2" t="s">
        <v>9</v>
      </c>
      <c r="B1921" s="2" t="str">
        <f>"杨鑫"</f>
        <v>杨鑫</v>
      </c>
      <c r="C1921" s="2" t="str">
        <f t="shared" si="27"/>
        <v>女</v>
      </c>
      <c r="D1921" s="2" t="str">
        <f>"1998-01-26"</f>
        <v>1998-01-26</v>
      </c>
    </row>
    <row r="1922" spans="1:4" ht="15.75" customHeight="1" x14ac:dyDescent="0.2">
      <c r="A1922" s="2" t="s">
        <v>13</v>
      </c>
      <c r="B1922" s="2" t="str">
        <f>"周蓉"</f>
        <v>周蓉</v>
      </c>
      <c r="C1922" s="2" t="str">
        <f t="shared" si="27"/>
        <v>女</v>
      </c>
      <c r="D1922" s="2" t="str">
        <f>"1994-08-14"</f>
        <v>1994-08-14</v>
      </c>
    </row>
    <row r="1923" spans="1:4" ht="15.75" customHeight="1" x14ac:dyDescent="0.2">
      <c r="A1923" s="2" t="s">
        <v>20</v>
      </c>
      <c r="B1923" s="2" t="str">
        <f>"刘维"</f>
        <v>刘维</v>
      </c>
      <c r="C1923" s="2" t="str">
        <f>"男"</f>
        <v>男</v>
      </c>
      <c r="D1923" s="2" t="str">
        <f>"1994-04-22"</f>
        <v>1994-04-22</v>
      </c>
    </row>
    <row r="1924" spans="1:4" ht="15.75" customHeight="1" x14ac:dyDescent="0.2">
      <c r="A1924" s="2" t="s">
        <v>22</v>
      </c>
      <c r="B1924" s="2" t="str">
        <f>"王琨"</f>
        <v>王琨</v>
      </c>
      <c r="C1924" s="2" t="str">
        <f>"男"</f>
        <v>男</v>
      </c>
      <c r="D1924" s="2" t="str">
        <f>"1993-09-12"</f>
        <v>1993-09-12</v>
      </c>
    </row>
    <row r="1925" spans="1:4" ht="15.75" customHeight="1" x14ac:dyDescent="0.2">
      <c r="A1925" s="2" t="s">
        <v>29</v>
      </c>
      <c r="B1925" s="2" t="str">
        <f>"董叶翠"</f>
        <v>董叶翠</v>
      </c>
      <c r="C1925" s="2" t="str">
        <f>"女"</f>
        <v>女</v>
      </c>
      <c r="D1925" s="2" t="str">
        <f>"1995-01-20"</f>
        <v>1995-01-20</v>
      </c>
    </row>
    <row r="1926" spans="1:4" ht="15.75" customHeight="1" x14ac:dyDescent="0.2">
      <c r="A1926" s="2" t="s">
        <v>68</v>
      </c>
      <c r="B1926" s="2" t="str">
        <f>"谭扬"</f>
        <v>谭扬</v>
      </c>
      <c r="C1926" s="2" t="str">
        <f>"女"</f>
        <v>女</v>
      </c>
      <c r="D1926" s="2" t="str">
        <f>"1995-02-18"</f>
        <v>1995-02-18</v>
      </c>
    </row>
    <row r="1927" spans="1:4" ht="15.75" customHeight="1" x14ac:dyDescent="0.2">
      <c r="A1927" s="2" t="s">
        <v>39</v>
      </c>
      <c r="B1927" s="2" t="str">
        <f>"卢文婷"</f>
        <v>卢文婷</v>
      </c>
      <c r="C1927" s="2" t="str">
        <f>"女"</f>
        <v>女</v>
      </c>
      <c r="D1927" s="2" t="str">
        <f>"1991-10-08"</f>
        <v>1991-10-08</v>
      </c>
    </row>
    <row r="1928" spans="1:4" ht="15.75" customHeight="1" x14ac:dyDescent="0.2">
      <c r="A1928" s="2" t="s">
        <v>63</v>
      </c>
      <c r="B1928" s="2" t="str">
        <f>"余京宗"</f>
        <v>余京宗</v>
      </c>
      <c r="C1928" s="2" t="str">
        <f>"男"</f>
        <v>男</v>
      </c>
      <c r="D1928" s="2" t="str">
        <f>"1994-06-23"</f>
        <v>1994-06-23</v>
      </c>
    </row>
    <row r="1929" spans="1:4" ht="15.75" customHeight="1" x14ac:dyDescent="0.2">
      <c r="A1929" s="2" t="s">
        <v>40</v>
      </c>
      <c r="B1929" s="2" t="str">
        <f>"邓宇杰"</f>
        <v>邓宇杰</v>
      </c>
      <c r="C1929" s="2" t="str">
        <f>"男"</f>
        <v>男</v>
      </c>
      <c r="D1929" s="2" t="str">
        <f>"1997-01-05"</f>
        <v>1997-01-05</v>
      </c>
    </row>
    <row r="1930" spans="1:4" ht="15.75" customHeight="1" x14ac:dyDescent="0.2">
      <c r="A1930" s="2" t="s">
        <v>66</v>
      </c>
      <c r="B1930" s="2" t="str">
        <f>"张旋"</f>
        <v>张旋</v>
      </c>
      <c r="C1930" s="2" t="str">
        <f>"女"</f>
        <v>女</v>
      </c>
      <c r="D1930" s="2" t="str">
        <f>"1992-12-01"</f>
        <v>1992-12-01</v>
      </c>
    </row>
    <row r="1931" spans="1:4" ht="15.75" customHeight="1" x14ac:dyDescent="0.2">
      <c r="A1931" s="2" t="s">
        <v>43</v>
      </c>
      <c r="B1931" s="2" t="str">
        <f>"高永杰"</f>
        <v>高永杰</v>
      </c>
      <c r="C1931" s="2" t="str">
        <f>"男"</f>
        <v>男</v>
      </c>
      <c r="D1931" s="2" t="str">
        <f>"1994-10-31"</f>
        <v>1994-10-31</v>
      </c>
    </row>
    <row r="1932" spans="1:4" ht="15.75" customHeight="1" x14ac:dyDescent="0.2">
      <c r="A1932" s="2" t="s">
        <v>43</v>
      </c>
      <c r="B1932" s="2" t="str">
        <f>"胡帅"</f>
        <v>胡帅</v>
      </c>
      <c r="C1932" s="2" t="str">
        <f>"男"</f>
        <v>男</v>
      </c>
      <c r="D1932" s="2" t="str">
        <f>"1998-08-31"</f>
        <v>1998-08-31</v>
      </c>
    </row>
    <row r="1933" spans="1:4" ht="15.75" customHeight="1" x14ac:dyDescent="0.2">
      <c r="A1933" s="2" t="s">
        <v>8</v>
      </c>
      <c r="B1933" s="2" t="str">
        <f>"高敏"</f>
        <v>高敏</v>
      </c>
      <c r="C1933" s="2" t="str">
        <f>"女"</f>
        <v>女</v>
      </c>
      <c r="D1933" s="2" t="str">
        <f>"1995-10-22"</f>
        <v>1995-10-22</v>
      </c>
    </row>
    <row r="1934" spans="1:4" ht="15.75" customHeight="1" x14ac:dyDescent="0.2">
      <c r="A1934" s="2" t="s">
        <v>15</v>
      </c>
      <c r="B1934" s="2" t="str">
        <f>"严翊宁"</f>
        <v>严翊宁</v>
      </c>
      <c r="C1934" s="2" t="str">
        <f>"女"</f>
        <v>女</v>
      </c>
      <c r="D1934" s="2" t="str">
        <f>"1990-10-07"</f>
        <v>1990-10-07</v>
      </c>
    </row>
    <row r="1935" spans="1:4" ht="15.75" customHeight="1" x14ac:dyDescent="0.2">
      <c r="A1935" s="2" t="s">
        <v>42</v>
      </c>
      <c r="B1935" s="2" t="str">
        <f>"刘梦"</f>
        <v>刘梦</v>
      </c>
      <c r="C1935" s="2" t="str">
        <f>"女"</f>
        <v>女</v>
      </c>
      <c r="D1935" s="2" t="str">
        <f>"1989-05-02"</f>
        <v>1989-05-02</v>
      </c>
    </row>
    <row r="1936" spans="1:4" ht="15.75" customHeight="1" x14ac:dyDescent="0.2">
      <c r="A1936" s="2" t="s">
        <v>46</v>
      </c>
      <c r="B1936" s="2" t="str">
        <f>"周杰"</f>
        <v>周杰</v>
      </c>
      <c r="C1936" s="2" t="str">
        <f>"女"</f>
        <v>女</v>
      </c>
      <c r="D1936" s="2" t="str">
        <f>"1987-12-02"</f>
        <v>1987-12-02</v>
      </c>
    </row>
    <row r="1937" spans="1:4" ht="15.75" customHeight="1" x14ac:dyDescent="0.2">
      <c r="A1937" s="2" t="s">
        <v>20</v>
      </c>
      <c r="B1937" s="2" t="str">
        <f>"王琴惠"</f>
        <v>王琴惠</v>
      </c>
      <c r="C1937" s="2" t="str">
        <f>"女"</f>
        <v>女</v>
      </c>
      <c r="D1937" s="2" t="str">
        <f>"1995-05-09"</f>
        <v>1995-05-09</v>
      </c>
    </row>
    <row r="1938" spans="1:4" ht="15.75" customHeight="1" x14ac:dyDescent="0.2">
      <c r="A1938" s="2" t="s">
        <v>13</v>
      </c>
      <c r="B1938" s="2" t="str">
        <f>"李伦"</f>
        <v>李伦</v>
      </c>
      <c r="C1938" s="2" t="str">
        <f>"男"</f>
        <v>男</v>
      </c>
      <c r="D1938" s="2" t="str">
        <f>"1992-11-08"</f>
        <v>1992-11-08</v>
      </c>
    </row>
    <row r="1939" spans="1:4" ht="15.75" customHeight="1" x14ac:dyDescent="0.2">
      <c r="A1939" s="2" t="s">
        <v>31</v>
      </c>
      <c r="B1939" s="2" t="str">
        <f>"杨洪"</f>
        <v>杨洪</v>
      </c>
      <c r="C1939" s="2" t="str">
        <f>"男"</f>
        <v>男</v>
      </c>
      <c r="D1939" s="2" t="str">
        <f>"1991-12-17"</f>
        <v>1991-12-17</v>
      </c>
    </row>
    <row r="1940" spans="1:4" ht="15.75" customHeight="1" x14ac:dyDescent="0.2">
      <c r="A1940" s="2" t="s">
        <v>42</v>
      </c>
      <c r="B1940" s="2" t="str">
        <f>"李玲"</f>
        <v>李玲</v>
      </c>
      <c r="C1940" s="2" t="str">
        <f>"女"</f>
        <v>女</v>
      </c>
      <c r="D1940" s="2" t="str">
        <f>"1992-07-07"</f>
        <v>1992-07-07</v>
      </c>
    </row>
    <row r="1941" spans="1:4" ht="15.75" customHeight="1" x14ac:dyDescent="0.2">
      <c r="A1941" s="2" t="s">
        <v>74</v>
      </c>
      <c r="B1941" s="2" t="str">
        <f>"马卓"</f>
        <v>马卓</v>
      </c>
      <c r="C1941" s="2" t="str">
        <f>"女"</f>
        <v>女</v>
      </c>
      <c r="D1941" s="2" t="str">
        <f>"1998-02-19"</f>
        <v>1998-02-19</v>
      </c>
    </row>
    <row r="1942" spans="1:4" ht="15.75" customHeight="1" x14ac:dyDescent="0.2">
      <c r="A1942" s="2" t="s">
        <v>44</v>
      </c>
      <c r="B1942" s="2" t="str">
        <f>"李杨"</f>
        <v>李杨</v>
      </c>
      <c r="C1942" s="2" t="str">
        <f>"男"</f>
        <v>男</v>
      </c>
      <c r="D1942" s="2" t="str">
        <f>"1989-01-10"</f>
        <v>1989-01-10</v>
      </c>
    </row>
    <row r="1943" spans="1:4" ht="15.75" customHeight="1" x14ac:dyDescent="0.2">
      <c r="A1943" s="2" t="s">
        <v>55</v>
      </c>
      <c r="B1943" s="2" t="str">
        <f>"刘思敏"</f>
        <v>刘思敏</v>
      </c>
      <c r="C1943" s="2" t="str">
        <f>"女"</f>
        <v>女</v>
      </c>
      <c r="D1943" s="2" t="str">
        <f>"1994-09-04"</f>
        <v>1994-09-04</v>
      </c>
    </row>
    <row r="1944" spans="1:4" ht="15.75" customHeight="1" x14ac:dyDescent="0.2">
      <c r="A1944" s="2" t="s">
        <v>57</v>
      </c>
      <c r="B1944" s="2" t="str">
        <f>"杨君"</f>
        <v>杨君</v>
      </c>
      <c r="C1944" s="2" t="str">
        <f>"女"</f>
        <v>女</v>
      </c>
      <c r="D1944" s="2" t="str">
        <f>"1997-06-03"</f>
        <v>1997-06-03</v>
      </c>
    </row>
    <row r="1945" spans="1:4" ht="15.75" customHeight="1" x14ac:dyDescent="0.2">
      <c r="A1945" s="2" t="s">
        <v>15</v>
      </c>
      <c r="B1945" s="2" t="str">
        <f>"彭一珂"</f>
        <v>彭一珂</v>
      </c>
      <c r="C1945" s="2" t="str">
        <f>"男"</f>
        <v>男</v>
      </c>
      <c r="D1945" s="2" t="str">
        <f>"1999-08-27"</f>
        <v>1999-08-27</v>
      </c>
    </row>
    <row r="1946" spans="1:4" ht="15.75" customHeight="1" x14ac:dyDescent="0.2">
      <c r="A1946" s="2" t="s">
        <v>57</v>
      </c>
      <c r="B1946" s="2" t="str">
        <f>"宋雅婷"</f>
        <v>宋雅婷</v>
      </c>
      <c r="C1946" s="2" t="str">
        <f>"女"</f>
        <v>女</v>
      </c>
      <c r="D1946" s="2" t="str">
        <f>"1999-10-26"</f>
        <v>1999-10-26</v>
      </c>
    </row>
    <row r="1947" spans="1:4" ht="15.75" customHeight="1" x14ac:dyDescent="0.2">
      <c r="A1947" s="2" t="s">
        <v>54</v>
      </c>
      <c r="B1947" s="2" t="str">
        <f>"皮子鑫"</f>
        <v>皮子鑫</v>
      </c>
      <c r="C1947" s="2" t="str">
        <f>"男"</f>
        <v>男</v>
      </c>
      <c r="D1947" s="2" t="str">
        <f>"1987-04-06"</f>
        <v>1987-04-06</v>
      </c>
    </row>
    <row r="1948" spans="1:4" ht="15.75" customHeight="1" x14ac:dyDescent="0.2">
      <c r="A1948" s="2" t="s">
        <v>50</v>
      </c>
      <c r="B1948" s="2" t="str">
        <f>"张英"</f>
        <v>张英</v>
      </c>
      <c r="C1948" s="2" t="str">
        <f t="shared" ref="C1948:C1953" si="28">"女"</f>
        <v>女</v>
      </c>
      <c r="D1948" s="2" t="str">
        <f>"1993-06-17"</f>
        <v>1993-06-17</v>
      </c>
    </row>
    <row r="1949" spans="1:4" ht="15.75" customHeight="1" x14ac:dyDescent="0.2">
      <c r="A1949" s="2" t="s">
        <v>14</v>
      </c>
      <c r="B1949" s="2" t="str">
        <f>"向银勤"</f>
        <v>向银勤</v>
      </c>
      <c r="C1949" s="2" t="str">
        <f t="shared" si="28"/>
        <v>女</v>
      </c>
      <c r="D1949" s="2" t="str">
        <f>"1989-06-28"</f>
        <v>1989-06-28</v>
      </c>
    </row>
    <row r="1950" spans="1:4" ht="15.75" customHeight="1" x14ac:dyDescent="0.2">
      <c r="A1950" s="2" t="s">
        <v>25</v>
      </c>
      <c r="B1950" s="2" t="str">
        <f>"莫敏捷"</f>
        <v>莫敏捷</v>
      </c>
      <c r="C1950" s="2" t="str">
        <f t="shared" si="28"/>
        <v>女</v>
      </c>
      <c r="D1950" s="2" t="str">
        <f>"1990-10-31"</f>
        <v>1990-10-31</v>
      </c>
    </row>
    <row r="1951" spans="1:4" ht="15.75" customHeight="1" x14ac:dyDescent="0.2">
      <c r="A1951" s="2" t="s">
        <v>8</v>
      </c>
      <c r="B1951" s="2" t="str">
        <f>"唐灵惠"</f>
        <v>唐灵惠</v>
      </c>
      <c r="C1951" s="2" t="str">
        <f t="shared" si="28"/>
        <v>女</v>
      </c>
      <c r="D1951" s="2" t="str">
        <f>"1997-08-13"</f>
        <v>1997-08-13</v>
      </c>
    </row>
    <row r="1952" spans="1:4" ht="15.75" customHeight="1" x14ac:dyDescent="0.2">
      <c r="A1952" s="2" t="s">
        <v>25</v>
      </c>
      <c r="B1952" s="2" t="str">
        <f>"汪明星"</f>
        <v>汪明星</v>
      </c>
      <c r="C1952" s="2" t="str">
        <f t="shared" si="28"/>
        <v>女</v>
      </c>
      <c r="D1952" s="2" t="str">
        <f>"1998-07-08"</f>
        <v>1998-07-08</v>
      </c>
    </row>
    <row r="1953" spans="1:4" ht="15.75" customHeight="1" x14ac:dyDescent="0.2">
      <c r="A1953" s="2" t="s">
        <v>42</v>
      </c>
      <c r="B1953" s="2" t="str">
        <f>"张杏"</f>
        <v>张杏</v>
      </c>
      <c r="C1953" s="2" t="str">
        <f t="shared" si="28"/>
        <v>女</v>
      </c>
      <c r="D1953" s="2" t="str">
        <f>"1994-08-15"</f>
        <v>1994-08-15</v>
      </c>
    </row>
    <row r="1954" spans="1:4" ht="15.75" customHeight="1" x14ac:dyDescent="0.2">
      <c r="A1954" s="2" t="s">
        <v>24</v>
      </c>
      <c r="B1954" s="2" t="str">
        <f>"尹梓皓"</f>
        <v>尹梓皓</v>
      </c>
      <c r="C1954" s="2" t="str">
        <f>"男"</f>
        <v>男</v>
      </c>
      <c r="D1954" s="2" t="str">
        <f>"1994-12-24"</f>
        <v>1994-12-24</v>
      </c>
    </row>
    <row r="1955" spans="1:4" ht="15.75" customHeight="1" x14ac:dyDescent="0.2">
      <c r="A1955" s="2" t="s">
        <v>56</v>
      </c>
      <c r="B1955" s="2" t="str">
        <f>"杨倩玉"</f>
        <v>杨倩玉</v>
      </c>
      <c r="C1955" s="2" t="str">
        <f>"女"</f>
        <v>女</v>
      </c>
      <c r="D1955" s="2" t="str">
        <f>"2001-05-03"</f>
        <v>2001-05-03</v>
      </c>
    </row>
    <row r="1956" spans="1:4" ht="15.75" customHeight="1" x14ac:dyDescent="0.2">
      <c r="A1956" s="2" t="s">
        <v>22</v>
      </c>
      <c r="B1956" s="2" t="str">
        <f>"汪其玲"</f>
        <v>汪其玲</v>
      </c>
      <c r="C1956" s="2" t="str">
        <f>"女"</f>
        <v>女</v>
      </c>
      <c r="D1956" s="2" t="str">
        <f>"1994-10-16"</f>
        <v>1994-10-16</v>
      </c>
    </row>
    <row r="1957" spans="1:4" ht="15.75" customHeight="1" x14ac:dyDescent="0.2">
      <c r="A1957" s="2" t="s">
        <v>52</v>
      </c>
      <c r="B1957" s="2" t="str">
        <f>"张云飞"</f>
        <v>张云飞</v>
      </c>
      <c r="C1957" s="2" t="str">
        <f>"男"</f>
        <v>男</v>
      </c>
      <c r="D1957" s="2" t="str">
        <f>"1988-04-25"</f>
        <v>1988-04-25</v>
      </c>
    </row>
    <row r="1958" spans="1:4" ht="15.75" customHeight="1" x14ac:dyDescent="0.2">
      <c r="A1958" s="2" t="s">
        <v>13</v>
      </c>
      <c r="B1958" s="2" t="str">
        <f>"覃林子"</f>
        <v>覃林子</v>
      </c>
      <c r="C1958" s="2" t="str">
        <f>"女"</f>
        <v>女</v>
      </c>
      <c r="D1958" s="2" t="str">
        <f>"1991-04-01"</f>
        <v>1991-04-01</v>
      </c>
    </row>
    <row r="1959" spans="1:4" ht="15.75" customHeight="1" x14ac:dyDescent="0.2">
      <c r="A1959" s="2" t="s">
        <v>18</v>
      </c>
      <c r="B1959" s="2" t="str">
        <f>"庹亚运"</f>
        <v>庹亚运</v>
      </c>
      <c r="C1959" s="2" t="str">
        <f>"男"</f>
        <v>男</v>
      </c>
      <c r="D1959" s="2" t="str">
        <f>"1990-10-13"</f>
        <v>1990-10-13</v>
      </c>
    </row>
    <row r="1960" spans="1:4" ht="15.75" customHeight="1" x14ac:dyDescent="0.2">
      <c r="A1960" s="2" t="s">
        <v>6</v>
      </c>
      <c r="B1960" s="2" t="str">
        <f>"赵秋茹"</f>
        <v>赵秋茹</v>
      </c>
      <c r="C1960" s="2" t="str">
        <f>"女"</f>
        <v>女</v>
      </c>
      <c r="D1960" s="2" t="str">
        <f>"1995-02-24"</f>
        <v>1995-02-24</v>
      </c>
    </row>
    <row r="1961" spans="1:4" ht="15.75" customHeight="1" x14ac:dyDescent="0.2">
      <c r="A1961" s="2" t="s">
        <v>57</v>
      </c>
      <c r="B1961" s="2" t="str">
        <f>"邢文静"</f>
        <v>邢文静</v>
      </c>
      <c r="C1961" s="2" t="str">
        <f>"女"</f>
        <v>女</v>
      </c>
      <c r="D1961" s="2" t="str">
        <f>"1998-07-21"</f>
        <v>1998-07-21</v>
      </c>
    </row>
    <row r="1962" spans="1:4" ht="15.75" customHeight="1" x14ac:dyDescent="0.2">
      <c r="A1962" s="2" t="s">
        <v>70</v>
      </c>
      <c r="B1962" s="2" t="str">
        <f>"蹇珊"</f>
        <v>蹇珊</v>
      </c>
      <c r="C1962" s="2" t="str">
        <f>"女"</f>
        <v>女</v>
      </c>
      <c r="D1962" s="2" t="str">
        <f>"1994-01-01"</f>
        <v>1994-01-01</v>
      </c>
    </row>
    <row r="1963" spans="1:4" ht="15.75" customHeight="1" x14ac:dyDescent="0.2">
      <c r="A1963" s="2" t="s">
        <v>9</v>
      </c>
      <c r="B1963" s="2" t="str">
        <f>"戴晓勇"</f>
        <v>戴晓勇</v>
      </c>
      <c r="C1963" s="2" t="str">
        <f>"男"</f>
        <v>男</v>
      </c>
      <c r="D1963" s="2" t="str">
        <f>"1989-12-22"</f>
        <v>1989-12-22</v>
      </c>
    </row>
    <row r="1964" spans="1:4" ht="15.75" customHeight="1" x14ac:dyDescent="0.2">
      <c r="A1964" s="2" t="s">
        <v>50</v>
      </c>
      <c r="B1964" s="2" t="str">
        <f>"朱琳"</f>
        <v>朱琳</v>
      </c>
      <c r="C1964" s="2" t="str">
        <f>"女"</f>
        <v>女</v>
      </c>
      <c r="D1964" s="2" t="str">
        <f>"1996-07-14"</f>
        <v>1996-07-14</v>
      </c>
    </row>
    <row r="1965" spans="1:4" ht="15.75" customHeight="1" x14ac:dyDescent="0.2">
      <c r="A1965" s="2" t="s">
        <v>60</v>
      </c>
      <c r="B1965" s="2" t="str">
        <f>"陈曼妮"</f>
        <v>陈曼妮</v>
      </c>
      <c r="C1965" s="2" t="str">
        <f>"女"</f>
        <v>女</v>
      </c>
      <c r="D1965" s="2" t="str">
        <f>"1996-06-20"</f>
        <v>1996-06-20</v>
      </c>
    </row>
    <row r="1966" spans="1:4" ht="15.75" customHeight="1" x14ac:dyDescent="0.2">
      <c r="A1966" s="2" t="s">
        <v>74</v>
      </c>
      <c r="B1966" s="2" t="str">
        <f>"唐韬"</f>
        <v>唐韬</v>
      </c>
      <c r="C1966" s="2" t="str">
        <f>"男"</f>
        <v>男</v>
      </c>
      <c r="D1966" s="2" t="str">
        <f>"1999-01-01"</f>
        <v>1999-01-01</v>
      </c>
    </row>
    <row r="1967" spans="1:4" ht="15.75" customHeight="1" x14ac:dyDescent="0.2">
      <c r="A1967" s="2" t="s">
        <v>15</v>
      </c>
      <c r="B1967" s="2" t="str">
        <f>"彭权"</f>
        <v>彭权</v>
      </c>
      <c r="C1967" s="2" t="str">
        <f>"男"</f>
        <v>男</v>
      </c>
      <c r="D1967" s="2" t="str">
        <f>"1989-04-09"</f>
        <v>1989-04-09</v>
      </c>
    </row>
    <row r="1968" spans="1:4" ht="15.75" customHeight="1" x14ac:dyDescent="0.2">
      <c r="A1968" s="2" t="s">
        <v>70</v>
      </c>
      <c r="B1968" s="2" t="str">
        <f>"汤盈"</f>
        <v>汤盈</v>
      </c>
      <c r="C1968" s="2" t="str">
        <f>"女"</f>
        <v>女</v>
      </c>
      <c r="D1968" s="2" t="str">
        <f>"1998-12-09"</f>
        <v>1998-12-09</v>
      </c>
    </row>
    <row r="1969" spans="1:4" ht="15.75" customHeight="1" x14ac:dyDescent="0.2">
      <c r="A1969" s="2" t="s">
        <v>58</v>
      </c>
      <c r="B1969" s="2" t="str">
        <f>"符雪冰"</f>
        <v>符雪冰</v>
      </c>
      <c r="C1969" s="2" t="str">
        <f>"女"</f>
        <v>女</v>
      </c>
      <c r="D1969" s="2" t="str">
        <f>"1996-06-20"</f>
        <v>1996-06-20</v>
      </c>
    </row>
    <row r="1970" spans="1:4" ht="15.75" customHeight="1" x14ac:dyDescent="0.2">
      <c r="A1970" s="2" t="s">
        <v>54</v>
      </c>
      <c r="B1970" s="2" t="str">
        <f>"李泽众"</f>
        <v>李泽众</v>
      </c>
      <c r="C1970" s="2" t="str">
        <f>"男"</f>
        <v>男</v>
      </c>
      <c r="D1970" s="2" t="str">
        <f>"1994-11-16"</f>
        <v>1994-11-16</v>
      </c>
    </row>
    <row r="1971" spans="1:4" ht="15.75" customHeight="1" x14ac:dyDescent="0.2">
      <c r="A1971" s="2" t="s">
        <v>25</v>
      </c>
      <c r="B1971" s="2" t="str">
        <f>"邵蓝逸"</f>
        <v>邵蓝逸</v>
      </c>
      <c r="C1971" s="2" t="str">
        <f>"女"</f>
        <v>女</v>
      </c>
      <c r="D1971" s="2" t="str">
        <f>"1991-10-04"</f>
        <v>1991-10-04</v>
      </c>
    </row>
    <row r="1972" spans="1:4" ht="15.75" customHeight="1" x14ac:dyDescent="0.2">
      <c r="A1972" s="2" t="s">
        <v>49</v>
      </c>
      <c r="B1972" s="2" t="str">
        <f>"陈颖"</f>
        <v>陈颖</v>
      </c>
      <c r="C1972" s="2" t="str">
        <f>"女"</f>
        <v>女</v>
      </c>
      <c r="D1972" s="2" t="str">
        <f>"1998-01-12"</f>
        <v>1998-01-12</v>
      </c>
    </row>
    <row r="1973" spans="1:4" ht="15.75" customHeight="1" x14ac:dyDescent="0.2">
      <c r="A1973" s="2" t="s">
        <v>14</v>
      </c>
      <c r="B1973" s="2" t="str">
        <f>"钱学姣"</f>
        <v>钱学姣</v>
      </c>
      <c r="C1973" s="2" t="str">
        <f>"女"</f>
        <v>女</v>
      </c>
      <c r="D1973" s="2" t="str">
        <f>"1991-08-18"</f>
        <v>1991-08-18</v>
      </c>
    </row>
    <row r="1974" spans="1:4" ht="15.75" customHeight="1" x14ac:dyDescent="0.2">
      <c r="A1974" s="2" t="s">
        <v>72</v>
      </c>
      <c r="B1974" s="2" t="str">
        <f>"胡梦飞"</f>
        <v>胡梦飞</v>
      </c>
      <c r="C1974" s="2" t="str">
        <f>"男"</f>
        <v>男</v>
      </c>
      <c r="D1974" s="2" t="str">
        <f>"1992-10-14"</f>
        <v>1992-10-14</v>
      </c>
    </row>
    <row r="1975" spans="1:4" ht="15.75" customHeight="1" x14ac:dyDescent="0.2">
      <c r="A1975" s="2" t="s">
        <v>14</v>
      </c>
      <c r="B1975" s="2" t="str">
        <f>"周详"</f>
        <v>周详</v>
      </c>
      <c r="C1975" s="2" t="str">
        <f>"男"</f>
        <v>男</v>
      </c>
      <c r="D1975" s="2" t="str">
        <f>"1990-09-01"</f>
        <v>1990-09-01</v>
      </c>
    </row>
    <row r="1976" spans="1:4" ht="15.75" customHeight="1" x14ac:dyDescent="0.2">
      <c r="A1976" s="2" t="s">
        <v>34</v>
      </c>
      <c r="B1976" s="2" t="str">
        <f>"胡萌"</f>
        <v>胡萌</v>
      </c>
      <c r="C1976" s="2" t="str">
        <f>"女"</f>
        <v>女</v>
      </c>
      <c r="D1976" s="2" t="str">
        <f>"1997-10-06"</f>
        <v>1997-10-06</v>
      </c>
    </row>
    <row r="1977" spans="1:4" ht="15.75" customHeight="1" x14ac:dyDescent="0.2">
      <c r="A1977" s="2" t="s">
        <v>50</v>
      </c>
      <c r="B1977" s="2" t="str">
        <f>"卢玉琴"</f>
        <v>卢玉琴</v>
      </c>
      <c r="C1977" s="2" t="str">
        <f>"女"</f>
        <v>女</v>
      </c>
      <c r="D1977" s="2" t="str">
        <f>"1997-11-29"</f>
        <v>1997-11-29</v>
      </c>
    </row>
    <row r="1978" spans="1:4" ht="15.75" customHeight="1" x14ac:dyDescent="0.2">
      <c r="A1978" s="2" t="s">
        <v>28</v>
      </c>
      <c r="B1978" s="2" t="str">
        <f>"代科"</f>
        <v>代科</v>
      </c>
      <c r="C1978" s="2" t="str">
        <f>"女"</f>
        <v>女</v>
      </c>
      <c r="D1978" s="2" t="str">
        <f>"1996-03-28"</f>
        <v>1996-03-28</v>
      </c>
    </row>
    <row r="1979" spans="1:4" ht="15.75" customHeight="1" x14ac:dyDescent="0.2">
      <c r="A1979" s="2" t="s">
        <v>59</v>
      </c>
      <c r="B1979" s="2" t="str">
        <f>"高烜平"</f>
        <v>高烜平</v>
      </c>
      <c r="C1979" s="2" t="str">
        <f>"女"</f>
        <v>女</v>
      </c>
      <c r="D1979" s="2" t="str">
        <f>"1999-03-04"</f>
        <v>1999-03-04</v>
      </c>
    </row>
    <row r="1980" spans="1:4" ht="15.75" customHeight="1" x14ac:dyDescent="0.2">
      <c r="A1980" s="2" t="s">
        <v>56</v>
      </c>
      <c r="B1980" s="2" t="str">
        <f>"罗珊"</f>
        <v>罗珊</v>
      </c>
      <c r="C1980" s="2" t="str">
        <f>"女"</f>
        <v>女</v>
      </c>
      <c r="D1980" s="2" t="str">
        <f>"1990-06-22"</f>
        <v>1990-06-22</v>
      </c>
    </row>
    <row r="1981" spans="1:4" ht="15.75" customHeight="1" x14ac:dyDescent="0.2">
      <c r="A1981" s="2" t="s">
        <v>69</v>
      </c>
      <c r="B1981" s="2" t="str">
        <f>"马逸斌"</f>
        <v>马逸斌</v>
      </c>
      <c r="C1981" s="2" t="str">
        <f>"男"</f>
        <v>男</v>
      </c>
      <c r="D1981" s="2" t="str">
        <f>"1999-04-29"</f>
        <v>1999-04-29</v>
      </c>
    </row>
    <row r="1982" spans="1:4" ht="15.75" customHeight="1" x14ac:dyDescent="0.2">
      <c r="A1982" s="2" t="s">
        <v>66</v>
      </c>
      <c r="B1982" s="2" t="str">
        <f>"吴嘉琦"</f>
        <v>吴嘉琦</v>
      </c>
      <c r="C1982" s="2" t="str">
        <f>"女"</f>
        <v>女</v>
      </c>
      <c r="D1982" s="2" t="str">
        <f>"1997-11-21"</f>
        <v>1997-11-21</v>
      </c>
    </row>
    <row r="1983" spans="1:4" ht="15.75" customHeight="1" x14ac:dyDescent="0.2">
      <c r="A1983" s="2" t="s">
        <v>50</v>
      </c>
      <c r="B1983" s="2" t="str">
        <f>"柳璨"</f>
        <v>柳璨</v>
      </c>
      <c r="C1983" s="2" t="str">
        <f>"男"</f>
        <v>男</v>
      </c>
      <c r="D1983" s="2" t="str">
        <f>"1993-11-24"</f>
        <v>1993-11-24</v>
      </c>
    </row>
    <row r="1984" spans="1:4" ht="15.75" customHeight="1" x14ac:dyDescent="0.2">
      <c r="A1984" s="2" t="s">
        <v>26</v>
      </c>
      <c r="B1984" s="2" t="str">
        <f>"杨亚龙"</f>
        <v>杨亚龙</v>
      </c>
      <c r="C1984" s="2" t="str">
        <f>"男"</f>
        <v>男</v>
      </c>
      <c r="D1984" s="2" t="str">
        <f>"1991-10-08"</f>
        <v>1991-10-08</v>
      </c>
    </row>
    <row r="1985" spans="1:4" ht="15.75" customHeight="1" x14ac:dyDescent="0.2">
      <c r="A1985" s="2" t="s">
        <v>31</v>
      </c>
      <c r="B1985" s="2" t="str">
        <f>"李沙"</f>
        <v>李沙</v>
      </c>
      <c r="C1985" s="2" t="str">
        <f>"女"</f>
        <v>女</v>
      </c>
      <c r="D1985" s="2" t="str">
        <f>"1998-07-04"</f>
        <v>1998-07-04</v>
      </c>
    </row>
    <row r="1986" spans="1:4" ht="15.75" customHeight="1" x14ac:dyDescent="0.2">
      <c r="A1986" s="2" t="s">
        <v>25</v>
      </c>
      <c r="B1986" s="2" t="str">
        <f>"向瑾瑶"</f>
        <v>向瑾瑶</v>
      </c>
      <c r="C1986" s="2" t="str">
        <f>"女"</f>
        <v>女</v>
      </c>
      <c r="D1986" s="2" t="str">
        <f>"1997-12-07"</f>
        <v>1997-12-07</v>
      </c>
    </row>
    <row r="1987" spans="1:4" ht="15.75" customHeight="1" x14ac:dyDescent="0.2">
      <c r="A1987" s="2" t="s">
        <v>33</v>
      </c>
      <c r="B1987" s="2" t="str">
        <f>"肖莉"</f>
        <v>肖莉</v>
      </c>
      <c r="C1987" s="2" t="str">
        <f>"女"</f>
        <v>女</v>
      </c>
      <c r="D1987" s="2" t="str">
        <f>"1995-07-17"</f>
        <v>1995-07-17</v>
      </c>
    </row>
    <row r="1988" spans="1:4" ht="15.75" customHeight="1" x14ac:dyDescent="0.2">
      <c r="A1988" s="2" t="s">
        <v>25</v>
      </c>
      <c r="B1988" s="2" t="str">
        <f>"马铭阳"</f>
        <v>马铭阳</v>
      </c>
      <c r="C1988" s="2" t="str">
        <f>"女"</f>
        <v>女</v>
      </c>
      <c r="D1988" s="2" t="str">
        <f>"1989-09-02"</f>
        <v>1989-09-02</v>
      </c>
    </row>
    <row r="1989" spans="1:4" ht="15.75" customHeight="1" x14ac:dyDescent="0.2">
      <c r="A1989" s="2" t="s">
        <v>17</v>
      </c>
      <c r="B1989" s="2" t="str">
        <f>"杨锦昆"</f>
        <v>杨锦昆</v>
      </c>
      <c r="C1989" s="2" t="str">
        <f>"男"</f>
        <v>男</v>
      </c>
      <c r="D1989" s="2" t="str">
        <f>"1998-07-18"</f>
        <v>1998-07-18</v>
      </c>
    </row>
    <row r="1990" spans="1:4" ht="15.75" customHeight="1" x14ac:dyDescent="0.2">
      <c r="A1990" s="2" t="s">
        <v>13</v>
      </c>
      <c r="B1990" s="2" t="str">
        <f>"李峥"</f>
        <v>李峥</v>
      </c>
      <c r="C1990" s="2" t="str">
        <f>"男"</f>
        <v>男</v>
      </c>
      <c r="D1990" s="2" t="str">
        <f>"1986-09-18"</f>
        <v>1986-09-18</v>
      </c>
    </row>
    <row r="1991" spans="1:4" ht="15.75" customHeight="1" x14ac:dyDescent="0.2">
      <c r="A1991" s="2" t="s">
        <v>14</v>
      </c>
      <c r="B1991" s="2" t="str">
        <f>"薛聪"</f>
        <v>薛聪</v>
      </c>
      <c r="C1991" s="2" t="str">
        <f>"男"</f>
        <v>男</v>
      </c>
      <c r="D1991" s="2" t="str">
        <f>"1992-10-04"</f>
        <v>1992-10-04</v>
      </c>
    </row>
    <row r="1992" spans="1:4" ht="15.75" customHeight="1" x14ac:dyDescent="0.2">
      <c r="A1992" s="2" t="s">
        <v>15</v>
      </c>
      <c r="B1992" s="2" t="str">
        <f>"李嘉伟"</f>
        <v>李嘉伟</v>
      </c>
      <c r="C1992" s="2" t="str">
        <f>"男"</f>
        <v>男</v>
      </c>
      <c r="D1992" s="2" t="str">
        <f>"1993-12-15"</f>
        <v>1993-12-15</v>
      </c>
    </row>
    <row r="1993" spans="1:4" ht="15.75" customHeight="1" x14ac:dyDescent="0.2">
      <c r="A1993" s="2" t="s">
        <v>71</v>
      </c>
      <c r="B1993" s="2" t="str">
        <f>"吴帆"</f>
        <v>吴帆</v>
      </c>
      <c r="C1993" s="2" t="str">
        <f>"男"</f>
        <v>男</v>
      </c>
      <c r="D1993" s="2" t="str">
        <f>"1999-01-09"</f>
        <v>1999-01-09</v>
      </c>
    </row>
    <row r="1994" spans="1:4" ht="15.75" customHeight="1" x14ac:dyDescent="0.2">
      <c r="A1994" s="2" t="s">
        <v>46</v>
      </c>
      <c r="B1994" s="2" t="str">
        <f>"黄书珍"</f>
        <v>黄书珍</v>
      </c>
      <c r="C1994" s="2" t="str">
        <f>"女"</f>
        <v>女</v>
      </c>
      <c r="D1994" s="2" t="str">
        <f>"1996-12-28"</f>
        <v>1996-12-28</v>
      </c>
    </row>
    <row r="1995" spans="1:4" ht="15.75" customHeight="1" x14ac:dyDescent="0.2">
      <c r="A1995" s="2" t="s">
        <v>23</v>
      </c>
      <c r="B1995" s="2" t="str">
        <f>"严成武"</f>
        <v>严成武</v>
      </c>
      <c r="C1995" s="2" t="str">
        <f>"男"</f>
        <v>男</v>
      </c>
      <c r="D1995" s="2" t="str">
        <f>"1995-09-20"</f>
        <v>1995-09-20</v>
      </c>
    </row>
    <row r="1996" spans="1:4" ht="15.75" customHeight="1" x14ac:dyDescent="0.2">
      <c r="A1996" s="2" t="s">
        <v>35</v>
      </c>
      <c r="B1996" s="2" t="str">
        <f>"万家伟"</f>
        <v>万家伟</v>
      </c>
      <c r="C1996" s="2" t="str">
        <f>"男"</f>
        <v>男</v>
      </c>
      <c r="D1996" s="2" t="str">
        <f>"1996-12-21"</f>
        <v>1996-12-21</v>
      </c>
    </row>
    <row r="1997" spans="1:4" ht="15.75" customHeight="1" x14ac:dyDescent="0.2">
      <c r="A1997" s="2" t="s">
        <v>25</v>
      </c>
      <c r="B1997" s="2" t="str">
        <f>"毛伟"</f>
        <v>毛伟</v>
      </c>
      <c r="C1997" s="2" t="str">
        <f>"男"</f>
        <v>男</v>
      </c>
      <c r="D1997" s="2" t="str">
        <f>"1997-09-14"</f>
        <v>1997-09-14</v>
      </c>
    </row>
    <row r="1998" spans="1:4" ht="15.75" customHeight="1" x14ac:dyDescent="0.2">
      <c r="A1998" s="2" t="s">
        <v>30</v>
      </c>
      <c r="B1998" s="2" t="str">
        <f>"鲁溧"</f>
        <v>鲁溧</v>
      </c>
      <c r="C1998" s="2" t="str">
        <f>"男"</f>
        <v>男</v>
      </c>
      <c r="D1998" s="2" t="str">
        <f>"1988-05-19"</f>
        <v>1988-05-19</v>
      </c>
    </row>
    <row r="1999" spans="1:4" ht="15.75" customHeight="1" x14ac:dyDescent="0.2">
      <c r="A1999" s="2" t="s">
        <v>44</v>
      </c>
      <c r="B1999" s="2" t="str">
        <f>"罗瑛"</f>
        <v>罗瑛</v>
      </c>
      <c r="C1999" s="2" t="str">
        <f>"女"</f>
        <v>女</v>
      </c>
      <c r="D1999" s="2" t="str">
        <f>"1990-11-28"</f>
        <v>1990-11-28</v>
      </c>
    </row>
    <row r="2000" spans="1:4" ht="15.75" customHeight="1" x14ac:dyDescent="0.2">
      <c r="A2000" s="2" t="s">
        <v>12</v>
      </c>
      <c r="B2000" s="2" t="str">
        <f>"杨薇"</f>
        <v>杨薇</v>
      </c>
      <c r="C2000" s="2" t="str">
        <f>"女"</f>
        <v>女</v>
      </c>
      <c r="D2000" s="2" t="str">
        <f>"1989-01-21"</f>
        <v>1989-01-21</v>
      </c>
    </row>
    <row r="2001" spans="1:4" ht="15.75" customHeight="1" x14ac:dyDescent="0.2">
      <c r="A2001" s="2" t="s">
        <v>66</v>
      </c>
      <c r="B2001" s="2" t="str">
        <f>"陈玮婷"</f>
        <v>陈玮婷</v>
      </c>
      <c r="C2001" s="2" t="str">
        <f>"女"</f>
        <v>女</v>
      </c>
      <c r="D2001" s="2" t="str">
        <f>"1997-03-12"</f>
        <v>1997-03-12</v>
      </c>
    </row>
    <row r="2002" spans="1:4" ht="15.75" customHeight="1" x14ac:dyDescent="0.2">
      <c r="A2002" s="2" t="s">
        <v>8</v>
      </c>
      <c r="B2002" s="2" t="str">
        <f>"李丽"</f>
        <v>李丽</v>
      </c>
      <c r="C2002" s="2" t="str">
        <f>"女"</f>
        <v>女</v>
      </c>
      <c r="D2002" s="2" t="str">
        <f>"1988-01-25"</f>
        <v>1988-01-25</v>
      </c>
    </row>
    <row r="2003" spans="1:4" ht="15.75" customHeight="1" x14ac:dyDescent="0.2">
      <c r="A2003" s="2" t="s">
        <v>34</v>
      </c>
      <c r="B2003" s="2" t="str">
        <f>"艾晶晶"</f>
        <v>艾晶晶</v>
      </c>
      <c r="C2003" s="2" t="str">
        <f>"男"</f>
        <v>男</v>
      </c>
      <c r="D2003" s="2" t="str">
        <f>"1994-09-18"</f>
        <v>1994-09-18</v>
      </c>
    </row>
    <row r="2004" spans="1:4" ht="15.75" customHeight="1" x14ac:dyDescent="0.2">
      <c r="A2004" s="2" t="s">
        <v>51</v>
      </c>
      <c r="B2004" s="2" t="str">
        <f>"张梦瑶"</f>
        <v>张梦瑶</v>
      </c>
      <c r="C2004" s="2" t="str">
        <f>"女"</f>
        <v>女</v>
      </c>
      <c r="D2004" s="2" t="str">
        <f>"1997-01-03"</f>
        <v>1997-01-03</v>
      </c>
    </row>
    <row r="2005" spans="1:4" ht="15.75" customHeight="1" x14ac:dyDescent="0.2">
      <c r="A2005" s="2" t="s">
        <v>28</v>
      </c>
      <c r="B2005" s="2" t="str">
        <f>"赵维超"</f>
        <v>赵维超</v>
      </c>
      <c r="C2005" s="2" t="str">
        <f>"男"</f>
        <v>男</v>
      </c>
      <c r="D2005" s="2" t="str">
        <f>"1996-04-01"</f>
        <v>1996-04-01</v>
      </c>
    </row>
    <row r="2006" spans="1:4" ht="15.75" customHeight="1" x14ac:dyDescent="0.2">
      <c r="A2006" s="2" t="s">
        <v>31</v>
      </c>
      <c r="B2006" s="2" t="str">
        <f>"陈子欣"</f>
        <v>陈子欣</v>
      </c>
      <c r="C2006" s="2" t="str">
        <f>"女"</f>
        <v>女</v>
      </c>
      <c r="D2006" s="2" t="str">
        <f>"1998-10-25"</f>
        <v>1998-10-25</v>
      </c>
    </row>
    <row r="2007" spans="1:4" ht="15.75" customHeight="1" x14ac:dyDescent="0.2">
      <c r="A2007" s="2" t="s">
        <v>11</v>
      </c>
      <c r="B2007" s="2" t="str">
        <f>"熊敏"</f>
        <v>熊敏</v>
      </c>
      <c r="C2007" s="2" t="str">
        <f>"女"</f>
        <v>女</v>
      </c>
      <c r="D2007" s="2" t="str">
        <f>"1995-09-21"</f>
        <v>1995-09-21</v>
      </c>
    </row>
    <row r="2008" spans="1:4" ht="15.75" customHeight="1" x14ac:dyDescent="0.2">
      <c r="A2008" s="2" t="s">
        <v>43</v>
      </c>
      <c r="B2008" s="2" t="str">
        <f>"熊洁雅"</f>
        <v>熊洁雅</v>
      </c>
      <c r="C2008" s="2" t="str">
        <f>"女"</f>
        <v>女</v>
      </c>
      <c r="D2008" s="2" t="str">
        <f>"1990-06-11"</f>
        <v>1990-06-11</v>
      </c>
    </row>
    <row r="2009" spans="1:4" ht="15.75" customHeight="1" x14ac:dyDescent="0.2">
      <c r="A2009" s="2" t="s">
        <v>42</v>
      </c>
      <c r="B2009" s="2" t="str">
        <f>"戴归归"</f>
        <v>戴归归</v>
      </c>
      <c r="C2009" s="2" t="str">
        <f>"女"</f>
        <v>女</v>
      </c>
      <c r="D2009" s="2" t="str">
        <f>"1998-11-02"</f>
        <v>1998-11-02</v>
      </c>
    </row>
    <row r="2010" spans="1:4" ht="15.75" customHeight="1" x14ac:dyDescent="0.2">
      <c r="A2010" s="2" t="s">
        <v>70</v>
      </c>
      <c r="B2010" s="2" t="str">
        <f>"胡珺"</f>
        <v>胡珺</v>
      </c>
      <c r="C2010" s="2" t="str">
        <f>"女"</f>
        <v>女</v>
      </c>
      <c r="D2010" s="2" t="str">
        <f>"1988-11-24"</f>
        <v>1988-11-24</v>
      </c>
    </row>
    <row r="2011" spans="1:4" ht="15.75" customHeight="1" x14ac:dyDescent="0.2">
      <c r="A2011" s="2" t="s">
        <v>18</v>
      </c>
      <c r="B2011" s="2" t="str">
        <f>"邹影"</f>
        <v>邹影</v>
      </c>
      <c r="C2011" s="2" t="str">
        <f>"男"</f>
        <v>男</v>
      </c>
      <c r="D2011" s="2" t="str">
        <f>"1987-01-12"</f>
        <v>1987-01-12</v>
      </c>
    </row>
    <row r="2012" spans="1:4" ht="15.75" customHeight="1" x14ac:dyDescent="0.2">
      <c r="A2012" s="2" t="s">
        <v>56</v>
      </c>
      <c r="B2012" s="2" t="str">
        <f>"李丹"</f>
        <v>李丹</v>
      </c>
      <c r="C2012" s="2" t="str">
        <f>"女"</f>
        <v>女</v>
      </c>
      <c r="D2012" s="2" t="str">
        <f>"1986-12-08"</f>
        <v>1986-12-08</v>
      </c>
    </row>
    <row r="2013" spans="1:4" ht="15.75" customHeight="1" x14ac:dyDescent="0.2">
      <c r="A2013" s="2" t="s">
        <v>18</v>
      </c>
      <c r="B2013" s="2" t="str">
        <f>"胡仕林"</f>
        <v>胡仕林</v>
      </c>
      <c r="C2013" s="2" t="str">
        <f>"男"</f>
        <v>男</v>
      </c>
      <c r="D2013" s="2" t="str">
        <f>"1995-04-10"</f>
        <v>1995-04-10</v>
      </c>
    </row>
    <row r="2014" spans="1:4" ht="15.75" customHeight="1" x14ac:dyDescent="0.2">
      <c r="A2014" s="2" t="s">
        <v>68</v>
      </c>
      <c r="B2014" s="2" t="str">
        <f>"曾亚芳"</f>
        <v>曾亚芳</v>
      </c>
      <c r="C2014" s="2" t="str">
        <f>"女"</f>
        <v>女</v>
      </c>
      <c r="D2014" s="2" t="str">
        <f>"2000-02-03"</f>
        <v>2000-02-03</v>
      </c>
    </row>
    <row r="2015" spans="1:4" ht="15.75" customHeight="1" x14ac:dyDescent="0.2">
      <c r="A2015" s="2" t="s">
        <v>50</v>
      </c>
      <c r="B2015" s="2" t="str">
        <f>"陈少宇"</f>
        <v>陈少宇</v>
      </c>
      <c r="C2015" s="2" t="str">
        <f>"男"</f>
        <v>男</v>
      </c>
      <c r="D2015" s="2" t="str">
        <f>"1997-01-06"</f>
        <v>1997-01-06</v>
      </c>
    </row>
    <row r="2016" spans="1:4" ht="15.75" customHeight="1" x14ac:dyDescent="0.2">
      <c r="A2016" s="2" t="s">
        <v>4</v>
      </c>
      <c r="B2016" s="2" t="str">
        <f>"谢荻"</f>
        <v>谢荻</v>
      </c>
      <c r="C2016" s="2" t="str">
        <f>"男"</f>
        <v>男</v>
      </c>
      <c r="D2016" s="2" t="str">
        <f>"1988-08-27"</f>
        <v>1988-08-27</v>
      </c>
    </row>
    <row r="2017" spans="1:4" ht="15.75" customHeight="1" x14ac:dyDescent="0.2">
      <c r="A2017" s="2" t="s">
        <v>48</v>
      </c>
      <c r="B2017" s="2" t="str">
        <f>"刘佳欣"</f>
        <v>刘佳欣</v>
      </c>
      <c r="C2017" s="2" t="str">
        <f>"女"</f>
        <v>女</v>
      </c>
      <c r="D2017" s="2" t="str">
        <f>"1995-11-19"</f>
        <v>1995-11-19</v>
      </c>
    </row>
    <row r="2018" spans="1:4" ht="15.75" customHeight="1" x14ac:dyDescent="0.2">
      <c r="A2018" s="2" t="s">
        <v>27</v>
      </c>
      <c r="B2018" s="2" t="str">
        <f>"周梦华"</f>
        <v>周梦华</v>
      </c>
      <c r="C2018" s="2" t="str">
        <f>"女"</f>
        <v>女</v>
      </c>
      <c r="D2018" s="2" t="str">
        <f>"1997-11-12"</f>
        <v>1997-11-12</v>
      </c>
    </row>
    <row r="2019" spans="1:4" ht="15.75" customHeight="1" x14ac:dyDescent="0.2">
      <c r="A2019" s="2" t="s">
        <v>29</v>
      </c>
      <c r="B2019" s="2" t="str">
        <f>"胡起来"</f>
        <v>胡起来</v>
      </c>
      <c r="C2019" s="2" t="str">
        <f>"女"</f>
        <v>女</v>
      </c>
      <c r="D2019" s="2" t="str">
        <f>"1998-07-03"</f>
        <v>1998-07-03</v>
      </c>
    </row>
    <row r="2020" spans="1:4" ht="15.75" customHeight="1" x14ac:dyDescent="0.2">
      <c r="A2020" s="2" t="s">
        <v>22</v>
      </c>
      <c r="B2020" s="2" t="str">
        <f>"胡伟"</f>
        <v>胡伟</v>
      </c>
      <c r="C2020" s="2" t="str">
        <f>"女"</f>
        <v>女</v>
      </c>
      <c r="D2020" s="2" t="str">
        <f>"1994-05-08"</f>
        <v>1994-05-08</v>
      </c>
    </row>
    <row r="2021" spans="1:4" ht="15.75" customHeight="1" x14ac:dyDescent="0.2">
      <c r="A2021" s="2" t="s">
        <v>14</v>
      </c>
      <c r="B2021" s="2" t="str">
        <f>"王英吉"</f>
        <v>王英吉</v>
      </c>
      <c r="C2021" s="2" t="str">
        <f>"男"</f>
        <v>男</v>
      </c>
      <c r="D2021" s="2" t="str">
        <f>"1991-07-22"</f>
        <v>1991-07-22</v>
      </c>
    </row>
    <row r="2022" spans="1:4" ht="15.75" customHeight="1" x14ac:dyDescent="0.2">
      <c r="A2022" s="2" t="s">
        <v>16</v>
      </c>
      <c r="B2022" s="2" t="str">
        <f>"符颖"</f>
        <v>符颖</v>
      </c>
      <c r="C2022" s="2" t="str">
        <f>"女"</f>
        <v>女</v>
      </c>
      <c r="D2022" s="2" t="str">
        <f>"1995-03-04"</f>
        <v>1995-03-04</v>
      </c>
    </row>
    <row r="2023" spans="1:4" ht="15.75" customHeight="1" x14ac:dyDescent="0.2">
      <c r="A2023" s="2" t="s">
        <v>13</v>
      </c>
      <c r="B2023" s="2" t="str">
        <f>"张津铭"</f>
        <v>张津铭</v>
      </c>
      <c r="C2023" s="2" t="str">
        <f>"男"</f>
        <v>男</v>
      </c>
      <c r="D2023" s="2" t="str">
        <f>"1996-03-23"</f>
        <v>1996-03-23</v>
      </c>
    </row>
    <row r="2024" spans="1:4" ht="15.75" customHeight="1" x14ac:dyDescent="0.2">
      <c r="A2024" s="2" t="s">
        <v>10</v>
      </c>
      <c r="B2024" s="2" t="str">
        <f>"张露"</f>
        <v>张露</v>
      </c>
      <c r="C2024" s="2" t="str">
        <f>"女"</f>
        <v>女</v>
      </c>
      <c r="D2024" s="2" t="str">
        <f>"1997-11-11"</f>
        <v>1997-11-11</v>
      </c>
    </row>
    <row r="2025" spans="1:4" ht="15.75" customHeight="1" x14ac:dyDescent="0.2">
      <c r="A2025" s="2" t="s">
        <v>27</v>
      </c>
      <c r="B2025" s="2" t="str">
        <f>"谭红呈"</f>
        <v>谭红呈</v>
      </c>
      <c r="C2025" s="2" t="str">
        <f>"男"</f>
        <v>男</v>
      </c>
      <c r="D2025" s="2" t="str">
        <f>"1995-06-28"</f>
        <v>1995-06-28</v>
      </c>
    </row>
    <row r="2026" spans="1:4" ht="15.75" customHeight="1" x14ac:dyDescent="0.2">
      <c r="A2026" s="2" t="s">
        <v>27</v>
      </c>
      <c r="B2026" s="2" t="str">
        <f>"向思兰"</f>
        <v>向思兰</v>
      </c>
      <c r="C2026" s="2" t="str">
        <f>"女"</f>
        <v>女</v>
      </c>
      <c r="D2026" s="2" t="str">
        <f>"1995-09-22"</f>
        <v>1995-09-22</v>
      </c>
    </row>
    <row r="2027" spans="1:4" ht="15.75" customHeight="1" x14ac:dyDescent="0.2">
      <c r="A2027" s="2" t="s">
        <v>13</v>
      </c>
      <c r="B2027" s="2" t="str">
        <f>"胡敏"</f>
        <v>胡敏</v>
      </c>
      <c r="C2027" s="2" t="str">
        <f>"女"</f>
        <v>女</v>
      </c>
      <c r="D2027" s="2" t="str">
        <f>"1992-11-05"</f>
        <v>1992-11-05</v>
      </c>
    </row>
    <row r="2028" spans="1:4" ht="15.75" customHeight="1" x14ac:dyDescent="0.2">
      <c r="A2028" s="2" t="s">
        <v>52</v>
      </c>
      <c r="B2028" s="2" t="str">
        <f>"杨嘉伟"</f>
        <v>杨嘉伟</v>
      </c>
      <c r="C2028" s="2" t="str">
        <f>"男"</f>
        <v>男</v>
      </c>
      <c r="D2028" s="2" t="str">
        <f>"1998-12-05"</f>
        <v>1998-12-05</v>
      </c>
    </row>
    <row r="2029" spans="1:4" ht="15.75" customHeight="1" x14ac:dyDescent="0.2">
      <c r="A2029" s="2" t="s">
        <v>65</v>
      </c>
      <c r="B2029" s="2" t="str">
        <f>"姚祯钰"</f>
        <v>姚祯钰</v>
      </c>
      <c r="C2029" s="2" t="str">
        <f>"女"</f>
        <v>女</v>
      </c>
      <c r="D2029" s="2" t="str">
        <f>"1994-07-03"</f>
        <v>1994-07-03</v>
      </c>
    </row>
    <row r="2030" spans="1:4" ht="15.75" customHeight="1" x14ac:dyDescent="0.2">
      <c r="A2030" s="2" t="s">
        <v>66</v>
      </c>
      <c r="B2030" s="2" t="str">
        <f>"郑秋芳"</f>
        <v>郑秋芳</v>
      </c>
      <c r="C2030" s="2" t="str">
        <f>"女"</f>
        <v>女</v>
      </c>
      <c r="D2030" s="2" t="str">
        <f>"1991-03-10"</f>
        <v>1991-03-10</v>
      </c>
    </row>
    <row r="2031" spans="1:4" ht="15.75" customHeight="1" x14ac:dyDescent="0.2">
      <c r="A2031" s="2" t="s">
        <v>38</v>
      </c>
      <c r="B2031" s="2" t="str">
        <f>"胡文静"</f>
        <v>胡文静</v>
      </c>
      <c r="C2031" s="2" t="str">
        <f>"男"</f>
        <v>男</v>
      </c>
      <c r="D2031" s="2" t="str">
        <f>"1994-03-06"</f>
        <v>1994-03-06</v>
      </c>
    </row>
    <row r="2032" spans="1:4" ht="15.75" customHeight="1" x14ac:dyDescent="0.2">
      <c r="A2032" s="2" t="s">
        <v>20</v>
      </c>
      <c r="B2032" s="2" t="str">
        <f>"唐志蓉"</f>
        <v>唐志蓉</v>
      </c>
      <c r="C2032" s="2" t="str">
        <f t="shared" ref="C2032:C2037" si="29">"女"</f>
        <v>女</v>
      </c>
      <c r="D2032" s="2" t="str">
        <f>"1994-04-20"</f>
        <v>1994-04-20</v>
      </c>
    </row>
    <row r="2033" spans="1:4" ht="15.75" customHeight="1" x14ac:dyDescent="0.2">
      <c r="A2033" s="2" t="s">
        <v>18</v>
      </c>
      <c r="B2033" s="2" t="str">
        <f>"孙璇"</f>
        <v>孙璇</v>
      </c>
      <c r="C2033" s="2" t="str">
        <f t="shared" si="29"/>
        <v>女</v>
      </c>
      <c r="D2033" s="2" t="str">
        <f>"1998-10-21"</f>
        <v>1998-10-21</v>
      </c>
    </row>
    <row r="2034" spans="1:4" ht="15.75" customHeight="1" x14ac:dyDescent="0.2">
      <c r="A2034" s="2" t="s">
        <v>11</v>
      </c>
      <c r="B2034" s="2" t="str">
        <f>"何芳"</f>
        <v>何芳</v>
      </c>
      <c r="C2034" s="2" t="str">
        <f t="shared" si="29"/>
        <v>女</v>
      </c>
      <c r="D2034" s="2" t="str">
        <f>"1996-04-29"</f>
        <v>1996-04-29</v>
      </c>
    </row>
    <row r="2035" spans="1:4" ht="15.75" customHeight="1" x14ac:dyDescent="0.2">
      <c r="A2035" s="2" t="s">
        <v>73</v>
      </c>
      <c r="B2035" s="2" t="str">
        <f>"郭艺"</f>
        <v>郭艺</v>
      </c>
      <c r="C2035" s="2" t="str">
        <f t="shared" si="29"/>
        <v>女</v>
      </c>
      <c r="D2035" s="2" t="str">
        <f>"1993-01-27"</f>
        <v>1993-01-27</v>
      </c>
    </row>
    <row r="2036" spans="1:4" ht="15.75" customHeight="1" x14ac:dyDescent="0.2">
      <c r="A2036" s="2" t="s">
        <v>31</v>
      </c>
      <c r="B2036" s="2" t="str">
        <f>"邹馨慧"</f>
        <v>邹馨慧</v>
      </c>
      <c r="C2036" s="2" t="str">
        <f t="shared" si="29"/>
        <v>女</v>
      </c>
      <c r="D2036" s="2" t="str">
        <f>"1995-02-13"</f>
        <v>1995-02-13</v>
      </c>
    </row>
    <row r="2037" spans="1:4" ht="15.75" customHeight="1" x14ac:dyDescent="0.2">
      <c r="A2037" s="2" t="s">
        <v>15</v>
      </c>
      <c r="B2037" s="2" t="str">
        <f>"杨雅如"</f>
        <v>杨雅如</v>
      </c>
      <c r="C2037" s="2" t="str">
        <f t="shared" si="29"/>
        <v>女</v>
      </c>
      <c r="D2037" s="2" t="str">
        <f>"1995-05-23"</f>
        <v>1995-05-23</v>
      </c>
    </row>
    <row r="2038" spans="1:4" ht="15.75" customHeight="1" x14ac:dyDescent="0.2">
      <c r="A2038" s="2" t="s">
        <v>14</v>
      </c>
      <c r="B2038" s="2" t="str">
        <f>"朱杰"</f>
        <v>朱杰</v>
      </c>
      <c r="C2038" s="2" t="str">
        <f>"男"</f>
        <v>男</v>
      </c>
      <c r="D2038" s="2" t="str">
        <f>"1993-01-18"</f>
        <v>1993-01-18</v>
      </c>
    </row>
    <row r="2039" spans="1:4" ht="15.75" customHeight="1" x14ac:dyDescent="0.2">
      <c r="A2039" s="2" t="s">
        <v>13</v>
      </c>
      <c r="B2039" s="2" t="str">
        <f>"秦伟琪"</f>
        <v>秦伟琪</v>
      </c>
      <c r="C2039" s="2" t="str">
        <f>"女"</f>
        <v>女</v>
      </c>
      <c r="D2039" s="2" t="str">
        <f>"1997-10-03"</f>
        <v>1997-10-03</v>
      </c>
    </row>
    <row r="2040" spans="1:4" ht="15.75" customHeight="1" x14ac:dyDescent="0.2">
      <c r="A2040" s="2" t="s">
        <v>14</v>
      </c>
      <c r="B2040" s="2" t="str">
        <f>"王资浩"</f>
        <v>王资浩</v>
      </c>
      <c r="C2040" s="2" t="str">
        <f>"男"</f>
        <v>男</v>
      </c>
      <c r="D2040" s="2" t="str">
        <f>"1993-01-14"</f>
        <v>1993-01-14</v>
      </c>
    </row>
    <row r="2041" spans="1:4" ht="15.75" customHeight="1" x14ac:dyDescent="0.2">
      <c r="A2041" s="2" t="s">
        <v>5</v>
      </c>
      <c r="B2041" s="2" t="str">
        <f>"梁欢"</f>
        <v>梁欢</v>
      </c>
      <c r="C2041" s="2" t="str">
        <f>"男"</f>
        <v>男</v>
      </c>
      <c r="D2041" s="2" t="str">
        <f>"1996-08-28"</f>
        <v>1996-08-28</v>
      </c>
    </row>
    <row r="2042" spans="1:4" ht="15.75" customHeight="1" x14ac:dyDescent="0.2">
      <c r="A2042" s="2" t="s">
        <v>24</v>
      </c>
      <c r="B2042" s="2" t="str">
        <f>"陈炎"</f>
        <v>陈炎</v>
      </c>
      <c r="C2042" s="2" t="str">
        <f>"女"</f>
        <v>女</v>
      </c>
      <c r="D2042" s="2" t="str">
        <f>"2000-04-30"</f>
        <v>2000-04-30</v>
      </c>
    </row>
    <row r="2043" spans="1:4" ht="15.75" customHeight="1" x14ac:dyDescent="0.2">
      <c r="A2043" s="2" t="s">
        <v>24</v>
      </c>
      <c r="B2043" s="2" t="str">
        <f>"宋倩"</f>
        <v>宋倩</v>
      </c>
      <c r="C2043" s="2" t="str">
        <f>"女"</f>
        <v>女</v>
      </c>
      <c r="D2043" s="2" t="str">
        <f>"1987-10-18"</f>
        <v>1987-10-18</v>
      </c>
    </row>
    <row r="2044" spans="1:4" ht="15.75" customHeight="1" x14ac:dyDescent="0.2">
      <c r="A2044" s="2" t="s">
        <v>44</v>
      </c>
      <c r="B2044" s="2" t="str">
        <f>"李静玟"</f>
        <v>李静玟</v>
      </c>
      <c r="C2044" s="2" t="str">
        <f>"女"</f>
        <v>女</v>
      </c>
      <c r="D2044" s="2" t="str">
        <f>"1997-10-22"</f>
        <v>1997-10-22</v>
      </c>
    </row>
    <row r="2045" spans="1:4" ht="15.75" customHeight="1" x14ac:dyDescent="0.2">
      <c r="A2045" s="2" t="s">
        <v>40</v>
      </c>
      <c r="B2045" s="2" t="str">
        <f>"曾雷"</f>
        <v>曾雷</v>
      </c>
      <c r="C2045" s="2" t="str">
        <f>"男"</f>
        <v>男</v>
      </c>
      <c r="D2045" s="2" t="str">
        <f>"1991-02-18"</f>
        <v>1991-02-18</v>
      </c>
    </row>
    <row r="2046" spans="1:4" ht="15.75" customHeight="1" x14ac:dyDescent="0.2">
      <c r="A2046" s="2" t="s">
        <v>14</v>
      </c>
      <c r="B2046" s="2" t="str">
        <f>"李星"</f>
        <v>李星</v>
      </c>
      <c r="C2046" s="2" t="str">
        <f>"男"</f>
        <v>男</v>
      </c>
      <c r="D2046" s="2" t="str">
        <f>"1995-11-05"</f>
        <v>1995-11-05</v>
      </c>
    </row>
    <row r="2047" spans="1:4" ht="15.75" customHeight="1" x14ac:dyDescent="0.2">
      <c r="A2047" s="2" t="s">
        <v>22</v>
      </c>
      <c r="B2047" s="2" t="str">
        <f>"王岱川"</f>
        <v>王岱川</v>
      </c>
      <c r="C2047" s="2" t="str">
        <f>"女"</f>
        <v>女</v>
      </c>
      <c r="D2047" s="2" t="str">
        <f>"1998-07-03"</f>
        <v>1998-07-03</v>
      </c>
    </row>
    <row r="2048" spans="1:4" ht="15.75" customHeight="1" x14ac:dyDescent="0.2">
      <c r="A2048" s="2" t="s">
        <v>54</v>
      </c>
      <c r="B2048" s="2" t="str">
        <f>"张磊"</f>
        <v>张磊</v>
      </c>
      <c r="C2048" s="2" t="str">
        <f>"男"</f>
        <v>男</v>
      </c>
      <c r="D2048" s="2" t="str">
        <f>"1993-03-28"</f>
        <v>1993-03-28</v>
      </c>
    </row>
    <row r="2049" spans="1:4" ht="15.75" customHeight="1" x14ac:dyDescent="0.2">
      <c r="A2049" s="2" t="s">
        <v>56</v>
      </c>
      <c r="B2049" s="2" t="str">
        <f>"杨柳"</f>
        <v>杨柳</v>
      </c>
      <c r="C2049" s="2" t="str">
        <f>"女"</f>
        <v>女</v>
      </c>
      <c r="D2049" s="2" t="str">
        <f>"1998-07-31"</f>
        <v>1998-07-31</v>
      </c>
    </row>
    <row r="2050" spans="1:4" ht="15.75" customHeight="1" x14ac:dyDescent="0.2">
      <c r="A2050" s="2" t="s">
        <v>50</v>
      </c>
      <c r="B2050" s="2" t="str">
        <f>"杨贝"</f>
        <v>杨贝</v>
      </c>
      <c r="C2050" s="2" t="str">
        <f>"男"</f>
        <v>男</v>
      </c>
      <c r="D2050" s="2" t="str">
        <f>"1996-01-30"</f>
        <v>1996-01-30</v>
      </c>
    </row>
    <row r="2051" spans="1:4" ht="15.75" customHeight="1" x14ac:dyDescent="0.2">
      <c r="A2051" s="2" t="s">
        <v>8</v>
      </c>
      <c r="B2051" s="2" t="str">
        <f>"田觅"</f>
        <v>田觅</v>
      </c>
      <c r="C2051" s="2" t="str">
        <f>"女"</f>
        <v>女</v>
      </c>
      <c r="D2051" s="2" t="str">
        <f>"1990-04-19"</f>
        <v>1990-04-19</v>
      </c>
    </row>
    <row r="2052" spans="1:4" ht="15.75" customHeight="1" x14ac:dyDescent="0.2">
      <c r="A2052" s="2" t="s">
        <v>38</v>
      </c>
      <c r="B2052" s="2" t="str">
        <f>"汤智超"</f>
        <v>汤智超</v>
      </c>
      <c r="C2052" s="2" t="str">
        <f>"男"</f>
        <v>男</v>
      </c>
      <c r="D2052" s="2" t="str">
        <f>"1999-07-13"</f>
        <v>1999-07-13</v>
      </c>
    </row>
    <row r="2053" spans="1:4" ht="15.75" customHeight="1" x14ac:dyDescent="0.2">
      <c r="A2053" s="2" t="s">
        <v>30</v>
      </c>
      <c r="B2053" s="2" t="str">
        <f>"肖雅兰"</f>
        <v>肖雅兰</v>
      </c>
      <c r="C2053" s="2" t="str">
        <f>"女"</f>
        <v>女</v>
      </c>
      <c r="D2053" s="2" t="str">
        <f>"1995-07-06"</f>
        <v>1995-07-06</v>
      </c>
    </row>
    <row r="2054" spans="1:4" ht="15.75" customHeight="1" x14ac:dyDescent="0.2">
      <c r="A2054" s="2" t="s">
        <v>42</v>
      </c>
      <c r="B2054" s="2" t="str">
        <f>"陈静娴"</f>
        <v>陈静娴</v>
      </c>
      <c r="C2054" s="2" t="str">
        <f>"女"</f>
        <v>女</v>
      </c>
      <c r="D2054" s="2" t="str">
        <f>"1989-02-07"</f>
        <v>1989-02-07</v>
      </c>
    </row>
    <row r="2055" spans="1:4" ht="15.75" customHeight="1" x14ac:dyDescent="0.2">
      <c r="A2055" s="2" t="s">
        <v>10</v>
      </c>
      <c r="B2055" s="2" t="str">
        <f>"姚娜"</f>
        <v>姚娜</v>
      </c>
      <c r="C2055" s="2" t="str">
        <f>"女"</f>
        <v>女</v>
      </c>
      <c r="D2055" s="2" t="str">
        <f>"1997-01-26"</f>
        <v>1997-01-26</v>
      </c>
    </row>
    <row r="2056" spans="1:4" ht="15.75" customHeight="1" x14ac:dyDescent="0.2">
      <c r="A2056" s="2" t="s">
        <v>58</v>
      </c>
      <c r="B2056" s="2" t="str">
        <f>"梅婷"</f>
        <v>梅婷</v>
      </c>
      <c r="C2056" s="2" t="str">
        <f>"女"</f>
        <v>女</v>
      </c>
      <c r="D2056" s="2" t="str">
        <f>"1995-11-30"</f>
        <v>1995-11-30</v>
      </c>
    </row>
    <row r="2057" spans="1:4" ht="15.75" customHeight="1" x14ac:dyDescent="0.2">
      <c r="A2057" s="2" t="s">
        <v>41</v>
      </c>
      <c r="B2057" s="2" t="str">
        <f>"骆玥帆"</f>
        <v>骆玥帆</v>
      </c>
      <c r="C2057" s="2" t="str">
        <f>"女"</f>
        <v>女</v>
      </c>
      <c r="D2057" s="2" t="str">
        <f>"1996-05-01"</f>
        <v>1996-05-01</v>
      </c>
    </row>
    <row r="2058" spans="1:4" ht="15.75" customHeight="1" x14ac:dyDescent="0.2">
      <c r="A2058" s="2" t="s">
        <v>9</v>
      </c>
      <c r="B2058" s="2" t="str">
        <f>"李东洺"</f>
        <v>李东洺</v>
      </c>
      <c r="C2058" s="2" t="str">
        <f>"男"</f>
        <v>男</v>
      </c>
      <c r="D2058" s="2" t="str">
        <f>"1991-01-10"</f>
        <v>1991-01-10</v>
      </c>
    </row>
    <row r="2059" spans="1:4" ht="15.75" customHeight="1" x14ac:dyDescent="0.2">
      <c r="A2059" s="2" t="s">
        <v>24</v>
      </c>
      <c r="B2059" s="2" t="str">
        <f>"张小芸"</f>
        <v>张小芸</v>
      </c>
      <c r="C2059" s="2" t="str">
        <f>"女"</f>
        <v>女</v>
      </c>
      <c r="D2059" s="2" t="str">
        <f>"1987-12-11"</f>
        <v>1987-12-11</v>
      </c>
    </row>
    <row r="2060" spans="1:4" ht="15.75" customHeight="1" x14ac:dyDescent="0.2">
      <c r="A2060" s="2" t="s">
        <v>28</v>
      </c>
      <c r="B2060" s="2" t="str">
        <f>"雷攀"</f>
        <v>雷攀</v>
      </c>
      <c r="C2060" s="2" t="str">
        <f>"女"</f>
        <v>女</v>
      </c>
      <c r="D2060" s="2" t="str">
        <f>"1996-05-05"</f>
        <v>1996-05-05</v>
      </c>
    </row>
    <row r="2061" spans="1:4" ht="15.75" customHeight="1" x14ac:dyDescent="0.2">
      <c r="A2061" s="2" t="s">
        <v>38</v>
      </c>
      <c r="B2061" s="2" t="str">
        <f>"刘旭"</f>
        <v>刘旭</v>
      </c>
      <c r="C2061" s="2" t="str">
        <f>"男"</f>
        <v>男</v>
      </c>
      <c r="D2061" s="2" t="str">
        <f>"1995-06-11"</f>
        <v>1995-06-11</v>
      </c>
    </row>
    <row r="2062" spans="1:4" ht="15.75" customHeight="1" x14ac:dyDescent="0.2">
      <c r="A2062" s="2" t="s">
        <v>50</v>
      </c>
      <c r="B2062" s="2" t="str">
        <f>"王子申"</f>
        <v>王子申</v>
      </c>
      <c r="C2062" s="2" t="str">
        <f>"男"</f>
        <v>男</v>
      </c>
      <c r="D2062" s="2" t="str">
        <f>"1994-09-21"</f>
        <v>1994-09-21</v>
      </c>
    </row>
    <row r="2063" spans="1:4" ht="15.75" customHeight="1" x14ac:dyDescent="0.2">
      <c r="A2063" s="2" t="s">
        <v>69</v>
      </c>
      <c r="B2063" s="2" t="str">
        <f>"郭有定"</f>
        <v>郭有定</v>
      </c>
      <c r="C2063" s="2" t="str">
        <f>"男"</f>
        <v>男</v>
      </c>
      <c r="D2063" s="2" t="str">
        <f>"1998-07-05"</f>
        <v>1998-07-05</v>
      </c>
    </row>
    <row r="2064" spans="1:4" ht="15.75" customHeight="1" x14ac:dyDescent="0.2">
      <c r="A2064" s="2" t="s">
        <v>14</v>
      </c>
      <c r="B2064" s="2" t="str">
        <f>"李夏青"</f>
        <v>李夏青</v>
      </c>
      <c r="C2064" s="2" t="str">
        <f>"女"</f>
        <v>女</v>
      </c>
      <c r="D2064" s="2" t="str">
        <f>"1986-07-26"</f>
        <v>1986-07-26</v>
      </c>
    </row>
    <row r="2065" spans="1:4" ht="15.75" customHeight="1" x14ac:dyDescent="0.2">
      <c r="A2065" s="2" t="s">
        <v>8</v>
      </c>
      <c r="B2065" s="2" t="str">
        <f>"黄源"</f>
        <v>黄源</v>
      </c>
      <c r="C2065" s="2" t="str">
        <f>"女"</f>
        <v>女</v>
      </c>
      <c r="D2065" s="2" t="str">
        <f>"1998-08-15"</f>
        <v>1998-08-15</v>
      </c>
    </row>
    <row r="2066" spans="1:4" ht="15.75" customHeight="1" x14ac:dyDescent="0.2">
      <c r="A2066" s="2" t="s">
        <v>57</v>
      </c>
      <c r="B2066" s="2" t="str">
        <f>"周兰"</f>
        <v>周兰</v>
      </c>
      <c r="C2066" s="2" t="str">
        <f>"男"</f>
        <v>男</v>
      </c>
      <c r="D2066" s="2" t="str">
        <f>"1997-10-23"</f>
        <v>1997-10-23</v>
      </c>
    </row>
    <row r="2067" spans="1:4" ht="15.75" customHeight="1" x14ac:dyDescent="0.2">
      <c r="A2067" s="2" t="s">
        <v>42</v>
      </c>
      <c r="B2067" s="2" t="str">
        <f>"余涛"</f>
        <v>余涛</v>
      </c>
      <c r="C2067" s="2" t="str">
        <f>"男"</f>
        <v>男</v>
      </c>
      <c r="D2067" s="2" t="str">
        <f>"1990-08-25"</f>
        <v>1990-08-25</v>
      </c>
    </row>
    <row r="2068" spans="1:4" ht="15.75" customHeight="1" x14ac:dyDescent="0.2">
      <c r="A2068" s="2" t="s">
        <v>8</v>
      </c>
      <c r="B2068" s="2" t="str">
        <f>"向远东"</f>
        <v>向远东</v>
      </c>
      <c r="C2068" s="2" t="str">
        <f>"男"</f>
        <v>男</v>
      </c>
      <c r="D2068" s="2" t="str">
        <f>"1995-11-03"</f>
        <v>1995-11-03</v>
      </c>
    </row>
    <row r="2069" spans="1:4" ht="15.75" customHeight="1" x14ac:dyDescent="0.2">
      <c r="A2069" s="2" t="s">
        <v>8</v>
      </c>
      <c r="B2069" s="2" t="str">
        <f>"王芳"</f>
        <v>王芳</v>
      </c>
      <c r="C2069" s="2" t="str">
        <f>"女"</f>
        <v>女</v>
      </c>
      <c r="D2069" s="2" t="str">
        <f>"1987-09-09"</f>
        <v>1987-09-09</v>
      </c>
    </row>
    <row r="2070" spans="1:4" ht="15.75" customHeight="1" x14ac:dyDescent="0.2">
      <c r="A2070" s="2" t="s">
        <v>42</v>
      </c>
      <c r="B2070" s="2" t="str">
        <f>"张三省"</f>
        <v>张三省</v>
      </c>
      <c r="C2070" s="2" t="str">
        <f>"男"</f>
        <v>男</v>
      </c>
      <c r="D2070" s="2" t="str">
        <f>"1995-06-24"</f>
        <v>1995-06-24</v>
      </c>
    </row>
    <row r="2071" spans="1:4" ht="15.75" customHeight="1" x14ac:dyDescent="0.2">
      <c r="A2071" s="2" t="s">
        <v>34</v>
      </c>
      <c r="B2071" s="2" t="str">
        <f>"张贻英"</f>
        <v>张贻英</v>
      </c>
      <c r="C2071" s="2" t="str">
        <f>"男"</f>
        <v>男</v>
      </c>
      <c r="D2071" s="2" t="str">
        <f>"1996-04-12"</f>
        <v>1996-04-12</v>
      </c>
    </row>
    <row r="2072" spans="1:4" ht="15.75" customHeight="1" x14ac:dyDescent="0.2">
      <c r="A2072" s="2" t="s">
        <v>25</v>
      </c>
      <c r="B2072" s="2" t="str">
        <f>"向婷"</f>
        <v>向婷</v>
      </c>
      <c r="C2072" s="2" t="str">
        <f>"女"</f>
        <v>女</v>
      </c>
      <c r="D2072" s="2" t="str">
        <f>"1994-07-09"</f>
        <v>1994-07-09</v>
      </c>
    </row>
    <row r="2073" spans="1:4" ht="15.75" customHeight="1" x14ac:dyDescent="0.2">
      <c r="A2073" s="2" t="s">
        <v>36</v>
      </c>
      <c r="B2073" s="2" t="str">
        <f>"易汝婷"</f>
        <v>易汝婷</v>
      </c>
      <c r="C2073" s="2" t="str">
        <f>"女"</f>
        <v>女</v>
      </c>
      <c r="D2073" s="2" t="str">
        <f>"1999-07-20"</f>
        <v>1999-07-20</v>
      </c>
    </row>
    <row r="2074" spans="1:4" ht="15.75" customHeight="1" x14ac:dyDescent="0.2">
      <c r="A2074" s="2" t="s">
        <v>48</v>
      </c>
      <c r="B2074" s="2" t="str">
        <f>"秦小芳"</f>
        <v>秦小芳</v>
      </c>
      <c r="C2074" s="2" t="str">
        <f>"女"</f>
        <v>女</v>
      </c>
      <c r="D2074" s="2" t="str">
        <f>"1995-01-26"</f>
        <v>1995-01-26</v>
      </c>
    </row>
    <row r="2075" spans="1:4" ht="15.75" customHeight="1" x14ac:dyDescent="0.2">
      <c r="A2075" s="2" t="s">
        <v>14</v>
      </c>
      <c r="B2075" s="2" t="str">
        <f>"胡京"</f>
        <v>胡京</v>
      </c>
      <c r="C2075" s="2" t="str">
        <f>"男"</f>
        <v>男</v>
      </c>
      <c r="D2075" s="2" t="str">
        <f>"1996-05-11"</f>
        <v>1996-05-11</v>
      </c>
    </row>
    <row r="2076" spans="1:4" ht="15.75" customHeight="1" x14ac:dyDescent="0.2">
      <c r="A2076" s="2" t="s">
        <v>32</v>
      </c>
      <c r="B2076" s="2" t="str">
        <f>"覃琼玉"</f>
        <v>覃琼玉</v>
      </c>
      <c r="C2076" s="2" t="str">
        <f>"女"</f>
        <v>女</v>
      </c>
      <c r="D2076" s="2" t="str">
        <f>"1994-11-09"</f>
        <v>1994-11-09</v>
      </c>
    </row>
    <row r="2077" spans="1:4" ht="15.75" customHeight="1" x14ac:dyDescent="0.2">
      <c r="A2077" s="2" t="s">
        <v>55</v>
      </c>
      <c r="B2077" s="2" t="str">
        <f>"汪彩红"</f>
        <v>汪彩红</v>
      </c>
      <c r="C2077" s="2" t="str">
        <f>"女"</f>
        <v>女</v>
      </c>
      <c r="D2077" s="2" t="str">
        <f>"1991-07-12"</f>
        <v>1991-07-12</v>
      </c>
    </row>
    <row r="2078" spans="1:4" ht="15.75" customHeight="1" x14ac:dyDescent="0.2">
      <c r="A2078" s="2" t="s">
        <v>23</v>
      </c>
      <c r="B2078" s="2" t="str">
        <f>"夏焕欣"</f>
        <v>夏焕欣</v>
      </c>
      <c r="C2078" s="2" t="str">
        <f>"男"</f>
        <v>男</v>
      </c>
      <c r="D2078" s="2" t="str">
        <f>"1993-11-25"</f>
        <v>1993-11-25</v>
      </c>
    </row>
    <row r="2079" spans="1:4" ht="15.75" customHeight="1" x14ac:dyDescent="0.2">
      <c r="A2079" s="2" t="s">
        <v>18</v>
      </c>
      <c r="B2079" s="2" t="str">
        <f>"唐雪艳"</f>
        <v>唐雪艳</v>
      </c>
      <c r="C2079" s="2" t="str">
        <f>"女"</f>
        <v>女</v>
      </c>
      <c r="D2079" s="2" t="str">
        <f>"1995-01-21"</f>
        <v>1995-01-21</v>
      </c>
    </row>
    <row r="2080" spans="1:4" ht="15.75" customHeight="1" x14ac:dyDescent="0.2">
      <c r="A2080" s="2" t="s">
        <v>43</v>
      </c>
      <c r="B2080" s="2" t="str">
        <f>"王腾隆"</f>
        <v>王腾隆</v>
      </c>
      <c r="C2080" s="2" t="str">
        <f>"男"</f>
        <v>男</v>
      </c>
      <c r="D2080" s="2" t="str">
        <f>"1996-03-20"</f>
        <v>1996-03-20</v>
      </c>
    </row>
    <row r="2081" spans="1:4" ht="15.75" customHeight="1" x14ac:dyDescent="0.2">
      <c r="A2081" s="2" t="s">
        <v>18</v>
      </c>
      <c r="B2081" s="2" t="str">
        <f>"陈姣"</f>
        <v>陈姣</v>
      </c>
      <c r="C2081" s="2" t="str">
        <f>"女"</f>
        <v>女</v>
      </c>
      <c r="D2081" s="2" t="str">
        <f>"1999-11-20"</f>
        <v>1999-11-20</v>
      </c>
    </row>
    <row r="2082" spans="1:4" ht="15.75" customHeight="1" x14ac:dyDescent="0.2">
      <c r="A2082" s="2" t="s">
        <v>28</v>
      </c>
      <c r="B2082" s="2" t="str">
        <f>"汪佳"</f>
        <v>汪佳</v>
      </c>
      <c r="C2082" s="2" t="str">
        <f>"女"</f>
        <v>女</v>
      </c>
      <c r="D2082" s="2" t="str">
        <f>"1995-06-09"</f>
        <v>1995-06-09</v>
      </c>
    </row>
    <row r="2083" spans="1:4" ht="15.75" customHeight="1" x14ac:dyDescent="0.2">
      <c r="A2083" s="2" t="s">
        <v>29</v>
      </c>
      <c r="B2083" s="2" t="str">
        <f>"卢彦旭"</f>
        <v>卢彦旭</v>
      </c>
      <c r="C2083" s="2" t="str">
        <f>"男"</f>
        <v>男</v>
      </c>
      <c r="D2083" s="2" t="str">
        <f>"1997-11-17"</f>
        <v>1997-11-17</v>
      </c>
    </row>
    <row r="2084" spans="1:4" ht="15.75" customHeight="1" x14ac:dyDescent="0.2">
      <c r="A2084" s="2" t="s">
        <v>33</v>
      </c>
      <c r="B2084" s="2" t="str">
        <f>"胡圳"</f>
        <v>胡圳</v>
      </c>
      <c r="C2084" s="2" t="str">
        <f>"男"</f>
        <v>男</v>
      </c>
      <c r="D2084" s="2" t="str">
        <f>"1996-05-11"</f>
        <v>1996-05-11</v>
      </c>
    </row>
    <row r="2085" spans="1:4" ht="15.75" customHeight="1" x14ac:dyDescent="0.2">
      <c r="A2085" s="2" t="s">
        <v>18</v>
      </c>
      <c r="B2085" s="2" t="str">
        <f>"熊思嘉"</f>
        <v>熊思嘉</v>
      </c>
      <c r="C2085" s="2" t="str">
        <f>"女"</f>
        <v>女</v>
      </c>
      <c r="D2085" s="2" t="str">
        <f>"1997-10-29"</f>
        <v>1997-10-29</v>
      </c>
    </row>
    <row r="2086" spans="1:4" ht="15.75" customHeight="1" x14ac:dyDescent="0.2">
      <c r="A2086" s="2" t="s">
        <v>42</v>
      </c>
      <c r="B2086" s="2" t="str">
        <f>"唐凌志"</f>
        <v>唐凌志</v>
      </c>
      <c r="C2086" s="2" t="str">
        <f>"男"</f>
        <v>男</v>
      </c>
      <c r="D2086" s="2" t="str">
        <f>"1996-02-14"</f>
        <v>1996-02-14</v>
      </c>
    </row>
    <row r="2087" spans="1:4" ht="15.75" customHeight="1" x14ac:dyDescent="0.2">
      <c r="A2087" s="2" t="s">
        <v>50</v>
      </c>
      <c r="B2087" s="2" t="str">
        <f>"李湘园"</f>
        <v>李湘园</v>
      </c>
      <c r="C2087" s="2" t="str">
        <f>"男"</f>
        <v>男</v>
      </c>
      <c r="D2087" s="2" t="str">
        <f>"1997-11-21"</f>
        <v>1997-11-21</v>
      </c>
    </row>
    <row r="2088" spans="1:4" ht="15.75" customHeight="1" x14ac:dyDescent="0.2">
      <c r="A2088" s="2" t="s">
        <v>52</v>
      </c>
      <c r="B2088" s="2" t="str">
        <f>"刘俊成"</f>
        <v>刘俊成</v>
      </c>
      <c r="C2088" s="2" t="str">
        <f>"男"</f>
        <v>男</v>
      </c>
      <c r="D2088" s="2" t="str">
        <f>"1998-11-21"</f>
        <v>1998-11-21</v>
      </c>
    </row>
    <row r="2089" spans="1:4" ht="15.75" customHeight="1" x14ac:dyDescent="0.2">
      <c r="A2089" s="2" t="s">
        <v>4</v>
      </c>
      <c r="B2089" s="2" t="str">
        <f>"朱定能"</f>
        <v>朱定能</v>
      </c>
      <c r="C2089" s="2" t="str">
        <f>"男"</f>
        <v>男</v>
      </c>
      <c r="D2089" s="2" t="str">
        <f>"1993-01-16"</f>
        <v>1993-01-16</v>
      </c>
    </row>
    <row r="2090" spans="1:4" ht="15.75" customHeight="1" x14ac:dyDescent="0.2">
      <c r="A2090" s="2" t="s">
        <v>29</v>
      </c>
      <c r="B2090" s="2" t="str">
        <f>"袁洁"</f>
        <v>袁洁</v>
      </c>
      <c r="C2090" s="2" t="str">
        <f>"女"</f>
        <v>女</v>
      </c>
      <c r="D2090" s="2" t="str">
        <f>"1991-11-08"</f>
        <v>1991-11-08</v>
      </c>
    </row>
    <row r="2091" spans="1:4" ht="15.75" customHeight="1" x14ac:dyDescent="0.2">
      <c r="A2091" s="2" t="s">
        <v>20</v>
      </c>
      <c r="B2091" s="2" t="str">
        <f>"陈菲"</f>
        <v>陈菲</v>
      </c>
      <c r="C2091" s="2" t="str">
        <f>"女"</f>
        <v>女</v>
      </c>
      <c r="D2091" s="2" t="str">
        <f>"1996-03-25"</f>
        <v>1996-03-25</v>
      </c>
    </row>
    <row r="2092" spans="1:4" ht="15.75" customHeight="1" x14ac:dyDescent="0.2">
      <c r="A2092" s="2" t="s">
        <v>25</v>
      </c>
      <c r="B2092" s="2" t="str">
        <f>"陈希泛"</f>
        <v>陈希泛</v>
      </c>
      <c r="C2092" s="2" t="str">
        <f>"男"</f>
        <v>男</v>
      </c>
      <c r="D2092" s="2" t="str">
        <f>"1990-02-17"</f>
        <v>1990-02-17</v>
      </c>
    </row>
    <row r="2093" spans="1:4" ht="15.75" customHeight="1" x14ac:dyDescent="0.2">
      <c r="A2093" s="2" t="s">
        <v>12</v>
      </c>
      <c r="B2093" s="2" t="str">
        <f>"程璐"</f>
        <v>程璐</v>
      </c>
      <c r="C2093" s="2" t="str">
        <f>"女"</f>
        <v>女</v>
      </c>
      <c r="D2093" s="2" t="str">
        <f>"1995-06-13"</f>
        <v>1995-06-13</v>
      </c>
    </row>
    <row r="2094" spans="1:4" ht="15.75" customHeight="1" x14ac:dyDescent="0.2">
      <c r="A2094" s="2" t="s">
        <v>42</v>
      </c>
      <c r="B2094" s="2" t="str">
        <f>"管宏涛"</f>
        <v>管宏涛</v>
      </c>
      <c r="C2094" s="2" t="str">
        <f>"男"</f>
        <v>男</v>
      </c>
      <c r="D2094" s="2" t="str">
        <f>"1989-12-10"</f>
        <v>1989-12-10</v>
      </c>
    </row>
    <row r="2095" spans="1:4" ht="15.75" customHeight="1" x14ac:dyDescent="0.2">
      <c r="A2095" s="2" t="s">
        <v>15</v>
      </c>
      <c r="B2095" s="2" t="str">
        <f>"刘帆"</f>
        <v>刘帆</v>
      </c>
      <c r="C2095" s="2" t="str">
        <f>"女"</f>
        <v>女</v>
      </c>
      <c r="D2095" s="2" t="str">
        <f>"1994-09-28"</f>
        <v>1994-09-28</v>
      </c>
    </row>
    <row r="2096" spans="1:4" ht="15.75" customHeight="1" x14ac:dyDescent="0.2">
      <c r="A2096" s="2" t="s">
        <v>57</v>
      </c>
      <c r="B2096" s="2" t="str">
        <f>"陈翼阳"</f>
        <v>陈翼阳</v>
      </c>
      <c r="C2096" s="2" t="str">
        <f>"女"</f>
        <v>女</v>
      </c>
      <c r="D2096" s="2" t="str">
        <f>"1995-08-16"</f>
        <v>1995-08-16</v>
      </c>
    </row>
    <row r="2097" spans="1:4" ht="15.75" customHeight="1" x14ac:dyDescent="0.2">
      <c r="A2097" s="2" t="s">
        <v>18</v>
      </c>
      <c r="B2097" s="2" t="str">
        <f>"郭钰姣"</f>
        <v>郭钰姣</v>
      </c>
      <c r="C2097" s="2" t="str">
        <f>"女"</f>
        <v>女</v>
      </c>
      <c r="D2097" s="2" t="str">
        <f>"1998-10-03"</f>
        <v>1998-10-03</v>
      </c>
    </row>
    <row r="2098" spans="1:4" ht="15.75" customHeight="1" x14ac:dyDescent="0.2">
      <c r="A2098" s="2" t="s">
        <v>16</v>
      </c>
      <c r="B2098" s="2" t="str">
        <f>"汪泽钱"</f>
        <v>汪泽钱</v>
      </c>
      <c r="C2098" s="2" t="str">
        <f>"男"</f>
        <v>男</v>
      </c>
      <c r="D2098" s="2" t="str">
        <f>"1995-09-05"</f>
        <v>1995-09-05</v>
      </c>
    </row>
    <row r="2099" spans="1:4" ht="15.75" customHeight="1" x14ac:dyDescent="0.2">
      <c r="A2099" s="2" t="s">
        <v>44</v>
      </c>
      <c r="B2099" s="2" t="str">
        <f>"郭建宇"</f>
        <v>郭建宇</v>
      </c>
      <c r="C2099" s="2" t="str">
        <f>"男"</f>
        <v>男</v>
      </c>
      <c r="D2099" s="2" t="str">
        <f>"1988-12-24"</f>
        <v>1988-12-24</v>
      </c>
    </row>
    <row r="2100" spans="1:4" ht="15.75" customHeight="1" x14ac:dyDescent="0.2">
      <c r="A2100" s="2" t="s">
        <v>29</v>
      </c>
      <c r="B2100" s="2" t="str">
        <f>"李凡"</f>
        <v>李凡</v>
      </c>
      <c r="C2100" s="2" t="str">
        <f>"女"</f>
        <v>女</v>
      </c>
      <c r="D2100" s="2" t="str">
        <f>"1993-01-26"</f>
        <v>1993-01-26</v>
      </c>
    </row>
    <row r="2101" spans="1:4" ht="15.75" customHeight="1" x14ac:dyDescent="0.2">
      <c r="A2101" s="2" t="s">
        <v>59</v>
      </c>
      <c r="B2101" s="2" t="str">
        <f>"曹冰洁"</f>
        <v>曹冰洁</v>
      </c>
      <c r="C2101" s="2" t="str">
        <f>"女"</f>
        <v>女</v>
      </c>
      <c r="D2101" s="2" t="str">
        <f>"1993-01-27"</f>
        <v>1993-01-27</v>
      </c>
    </row>
    <row r="2102" spans="1:4" ht="15.75" customHeight="1" x14ac:dyDescent="0.2">
      <c r="A2102" s="2" t="s">
        <v>20</v>
      </c>
      <c r="B2102" s="2" t="str">
        <f>"肖育金"</f>
        <v>肖育金</v>
      </c>
      <c r="C2102" s="2" t="str">
        <f>"男"</f>
        <v>男</v>
      </c>
      <c r="D2102" s="2" t="str">
        <f>"1997-08-03"</f>
        <v>1997-08-03</v>
      </c>
    </row>
    <row r="2103" spans="1:4" ht="15.75" customHeight="1" x14ac:dyDescent="0.2">
      <c r="A2103" s="2" t="s">
        <v>43</v>
      </c>
      <c r="B2103" s="2" t="str">
        <f>"雷欣"</f>
        <v>雷欣</v>
      </c>
      <c r="C2103" s="2" t="str">
        <f>"女"</f>
        <v>女</v>
      </c>
      <c r="D2103" s="2" t="str">
        <f>"1992-10-25"</f>
        <v>1992-10-25</v>
      </c>
    </row>
    <row r="2104" spans="1:4" ht="15.75" customHeight="1" x14ac:dyDescent="0.2">
      <c r="A2104" s="2" t="s">
        <v>70</v>
      </c>
      <c r="B2104" s="2" t="str">
        <f>"贺建荣"</f>
        <v>贺建荣</v>
      </c>
      <c r="C2104" s="2" t="str">
        <f>"女"</f>
        <v>女</v>
      </c>
      <c r="D2104" s="2" t="str">
        <f>"1986-07-26"</f>
        <v>1986-07-26</v>
      </c>
    </row>
    <row r="2105" spans="1:4" ht="15.75" customHeight="1" x14ac:dyDescent="0.2">
      <c r="A2105" s="2" t="s">
        <v>42</v>
      </c>
      <c r="B2105" s="2" t="str">
        <f>"谭梦东"</f>
        <v>谭梦东</v>
      </c>
      <c r="C2105" s="2" t="str">
        <f>"男"</f>
        <v>男</v>
      </c>
      <c r="D2105" s="2" t="str">
        <f>"1992-08-07"</f>
        <v>1992-08-07</v>
      </c>
    </row>
    <row r="2106" spans="1:4" ht="15.75" customHeight="1" x14ac:dyDescent="0.2">
      <c r="A2106" s="2" t="s">
        <v>30</v>
      </c>
      <c r="B2106" s="2" t="str">
        <f>"王沚婷"</f>
        <v>王沚婷</v>
      </c>
      <c r="C2106" s="2" t="str">
        <f>"女"</f>
        <v>女</v>
      </c>
      <c r="D2106" s="2" t="str">
        <f>"1996-11-04"</f>
        <v>1996-11-04</v>
      </c>
    </row>
    <row r="2107" spans="1:4" ht="15.75" customHeight="1" x14ac:dyDescent="0.2">
      <c r="A2107" s="2" t="s">
        <v>19</v>
      </c>
      <c r="B2107" s="2" t="str">
        <f>"戴崧任"</f>
        <v>戴崧任</v>
      </c>
      <c r="C2107" s="2" t="str">
        <f>"男"</f>
        <v>男</v>
      </c>
      <c r="D2107" s="2" t="str">
        <f>"1995-04-06"</f>
        <v>1995-04-06</v>
      </c>
    </row>
    <row r="2108" spans="1:4" ht="15.75" customHeight="1" x14ac:dyDescent="0.2">
      <c r="A2108" s="2" t="s">
        <v>28</v>
      </c>
      <c r="B2108" s="2" t="str">
        <f>"雷勘"</f>
        <v>雷勘</v>
      </c>
      <c r="C2108" s="2" t="str">
        <f>"男"</f>
        <v>男</v>
      </c>
      <c r="D2108" s="2" t="str">
        <f>"1992-09-16"</f>
        <v>1992-09-16</v>
      </c>
    </row>
    <row r="2109" spans="1:4" ht="15.75" customHeight="1" x14ac:dyDescent="0.2">
      <c r="A2109" s="2" t="s">
        <v>48</v>
      </c>
      <c r="B2109" s="2" t="str">
        <f>"唐淑芬"</f>
        <v>唐淑芬</v>
      </c>
      <c r="C2109" s="2" t="str">
        <f>"女"</f>
        <v>女</v>
      </c>
      <c r="D2109" s="2" t="str">
        <f>"1986-04-20"</f>
        <v>1986-04-20</v>
      </c>
    </row>
    <row r="2110" spans="1:4" ht="15.75" customHeight="1" x14ac:dyDescent="0.2">
      <c r="A2110" s="2" t="s">
        <v>4</v>
      </c>
      <c r="B2110" s="2" t="str">
        <f>"连杨帆"</f>
        <v>连杨帆</v>
      </c>
      <c r="C2110" s="2" t="str">
        <f>"男"</f>
        <v>男</v>
      </c>
      <c r="D2110" s="2" t="str">
        <f>"1996-07-20"</f>
        <v>1996-07-20</v>
      </c>
    </row>
    <row r="2111" spans="1:4" ht="15.75" customHeight="1" x14ac:dyDescent="0.2">
      <c r="A2111" s="2" t="s">
        <v>63</v>
      </c>
      <c r="B2111" s="2" t="str">
        <f>"田应鹏"</f>
        <v>田应鹏</v>
      </c>
      <c r="C2111" s="2" t="str">
        <f>"男"</f>
        <v>男</v>
      </c>
      <c r="D2111" s="2" t="str">
        <f>"1992-07-15"</f>
        <v>1992-07-15</v>
      </c>
    </row>
    <row r="2112" spans="1:4" ht="15.75" customHeight="1" x14ac:dyDescent="0.2">
      <c r="A2112" s="2" t="s">
        <v>14</v>
      </c>
      <c r="B2112" s="2" t="str">
        <f>"麻桂爱"</f>
        <v>麻桂爱</v>
      </c>
      <c r="C2112" s="2" t="str">
        <f>"女"</f>
        <v>女</v>
      </c>
      <c r="D2112" s="2" t="str">
        <f>"1991-07-22"</f>
        <v>1991-07-22</v>
      </c>
    </row>
    <row r="2113" spans="1:4" ht="15.75" customHeight="1" x14ac:dyDescent="0.2">
      <c r="A2113" s="2" t="s">
        <v>58</v>
      </c>
      <c r="B2113" s="2" t="str">
        <f>"苏娟"</f>
        <v>苏娟</v>
      </c>
      <c r="C2113" s="2" t="str">
        <f>"女"</f>
        <v>女</v>
      </c>
      <c r="D2113" s="2" t="str">
        <f>"1990-06-05"</f>
        <v>1990-06-05</v>
      </c>
    </row>
    <row r="2114" spans="1:4" ht="15.75" customHeight="1" x14ac:dyDescent="0.2">
      <c r="A2114" s="2" t="s">
        <v>15</v>
      </c>
      <c r="B2114" s="2" t="str">
        <f>"陈世豪"</f>
        <v>陈世豪</v>
      </c>
      <c r="C2114" s="2" t="str">
        <f>"男"</f>
        <v>男</v>
      </c>
      <c r="D2114" s="2" t="str">
        <f>"1999-02-10"</f>
        <v>1999-02-10</v>
      </c>
    </row>
    <row r="2115" spans="1:4" ht="15.75" customHeight="1" x14ac:dyDescent="0.2">
      <c r="A2115" s="2" t="s">
        <v>20</v>
      </c>
      <c r="B2115" s="2" t="str">
        <f>"刘宾星"</f>
        <v>刘宾星</v>
      </c>
      <c r="C2115" s="2" t="str">
        <f>"女"</f>
        <v>女</v>
      </c>
      <c r="D2115" s="2" t="str">
        <f>"1997-01-18"</f>
        <v>1997-01-18</v>
      </c>
    </row>
    <row r="2116" spans="1:4" ht="15.75" customHeight="1" x14ac:dyDescent="0.2">
      <c r="A2116" s="2" t="s">
        <v>32</v>
      </c>
      <c r="B2116" s="2" t="str">
        <f>"朱永祥"</f>
        <v>朱永祥</v>
      </c>
      <c r="C2116" s="2" t="str">
        <f>"男"</f>
        <v>男</v>
      </c>
      <c r="D2116" s="2" t="str">
        <f>"1994-12-10"</f>
        <v>1994-12-10</v>
      </c>
    </row>
    <row r="2117" spans="1:4" ht="15.75" customHeight="1" x14ac:dyDescent="0.2">
      <c r="A2117" s="2" t="s">
        <v>46</v>
      </c>
      <c r="B2117" s="2" t="str">
        <f>"殷俊龙"</f>
        <v>殷俊龙</v>
      </c>
      <c r="C2117" s="2" t="str">
        <f>"男"</f>
        <v>男</v>
      </c>
      <c r="D2117" s="2" t="str">
        <f>"1988-03-01"</f>
        <v>1988-03-01</v>
      </c>
    </row>
    <row r="2118" spans="1:4" ht="15.75" customHeight="1" x14ac:dyDescent="0.2">
      <c r="A2118" s="2" t="s">
        <v>18</v>
      </c>
      <c r="B2118" s="2" t="str">
        <f>"宾欣"</f>
        <v>宾欣</v>
      </c>
      <c r="C2118" s="2" t="str">
        <f>"女"</f>
        <v>女</v>
      </c>
      <c r="D2118" s="2" t="str">
        <f>"1995-12-12"</f>
        <v>1995-12-12</v>
      </c>
    </row>
    <row r="2119" spans="1:4" ht="15.75" customHeight="1" x14ac:dyDescent="0.2">
      <c r="A2119" s="2" t="s">
        <v>30</v>
      </c>
      <c r="B2119" s="2" t="str">
        <f>"叶子炀"</f>
        <v>叶子炀</v>
      </c>
      <c r="C2119" s="2" t="str">
        <f>"男"</f>
        <v>男</v>
      </c>
      <c r="D2119" s="2" t="str">
        <f>"1995-12-09"</f>
        <v>1995-12-09</v>
      </c>
    </row>
    <row r="2120" spans="1:4" ht="15.75" customHeight="1" x14ac:dyDescent="0.2">
      <c r="A2120" s="2" t="s">
        <v>56</v>
      </c>
      <c r="B2120" s="2" t="str">
        <f>"陈依然"</f>
        <v>陈依然</v>
      </c>
      <c r="C2120" s="2" t="str">
        <f>"女"</f>
        <v>女</v>
      </c>
      <c r="D2120" s="2" t="str">
        <f>"1993-09-07"</f>
        <v>1993-09-07</v>
      </c>
    </row>
    <row r="2121" spans="1:4" ht="15.75" customHeight="1" x14ac:dyDescent="0.2">
      <c r="A2121" s="2" t="s">
        <v>38</v>
      </c>
      <c r="B2121" s="2" t="str">
        <f>"徐杜旭"</f>
        <v>徐杜旭</v>
      </c>
      <c r="C2121" s="2" t="str">
        <f>"男"</f>
        <v>男</v>
      </c>
      <c r="D2121" s="2" t="str">
        <f>"1994-09-22"</f>
        <v>1994-09-22</v>
      </c>
    </row>
    <row r="2122" spans="1:4" ht="15.75" customHeight="1" x14ac:dyDescent="0.2">
      <c r="A2122" s="2" t="s">
        <v>13</v>
      </c>
      <c r="B2122" s="2" t="str">
        <f>"张芳"</f>
        <v>张芳</v>
      </c>
      <c r="C2122" s="2" t="str">
        <f>"女"</f>
        <v>女</v>
      </c>
      <c r="D2122" s="2" t="str">
        <f>"1995-09-14"</f>
        <v>1995-09-14</v>
      </c>
    </row>
    <row r="2123" spans="1:4" ht="15.75" customHeight="1" x14ac:dyDescent="0.2">
      <c r="A2123" s="2" t="s">
        <v>62</v>
      </c>
      <c r="B2123" s="2" t="str">
        <f>"张前猛"</f>
        <v>张前猛</v>
      </c>
      <c r="C2123" s="2" t="str">
        <f>"男"</f>
        <v>男</v>
      </c>
      <c r="D2123" s="2" t="str">
        <f>"1990-04-07"</f>
        <v>1990-04-07</v>
      </c>
    </row>
    <row r="2124" spans="1:4" ht="15.75" customHeight="1" x14ac:dyDescent="0.2">
      <c r="A2124" s="2" t="s">
        <v>54</v>
      </c>
      <c r="B2124" s="2" t="str">
        <f>"熊智健"</f>
        <v>熊智健</v>
      </c>
      <c r="C2124" s="2" t="str">
        <f>"男"</f>
        <v>男</v>
      </c>
      <c r="D2124" s="2" t="str">
        <f>"1996-09-08"</f>
        <v>1996-09-08</v>
      </c>
    </row>
    <row r="2125" spans="1:4" ht="15.75" customHeight="1" x14ac:dyDescent="0.2">
      <c r="A2125" s="2" t="s">
        <v>8</v>
      </c>
      <c r="B2125" s="2" t="str">
        <f>"伍云飞"</f>
        <v>伍云飞</v>
      </c>
      <c r="C2125" s="2" t="str">
        <f>"男"</f>
        <v>男</v>
      </c>
      <c r="D2125" s="2" t="str">
        <f>"1993-12-05"</f>
        <v>1993-12-05</v>
      </c>
    </row>
    <row r="2126" spans="1:4" ht="15.75" customHeight="1" x14ac:dyDescent="0.2">
      <c r="A2126" s="2" t="s">
        <v>24</v>
      </c>
      <c r="B2126" s="2" t="str">
        <f>"杜雨佳"</f>
        <v>杜雨佳</v>
      </c>
      <c r="C2126" s="2" t="str">
        <f>"男"</f>
        <v>男</v>
      </c>
      <c r="D2126" s="2" t="str">
        <f>"1994-09-14"</f>
        <v>1994-09-14</v>
      </c>
    </row>
    <row r="2127" spans="1:4" ht="15.75" customHeight="1" x14ac:dyDescent="0.2">
      <c r="A2127" s="2" t="s">
        <v>28</v>
      </c>
      <c r="B2127" s="2" t="str">
        <f>"黄鹏"</f>
        <v>黄鹏</v>
      </c>
      <c r="C2127" s="2" t="str">
        <f>"男"</f>
        <v>男</v>
      </c>
      <c r="D2127" s="2" t="str">
        <f>"1995-04-05"</f>
        <v>1995-04-05</v>
      </c>
    </row>
    <row r="2128" spans="1:4" ht="15.75" customHeight="1" x14ac:dyDescent="0.2">
      <c r="A2128" s="2" t="s">
        <v>43</v>
      </c>
      <c r="B2128" s="2" t="str">
        <f>"刘雨婕"</f>
        <v>刘雨婕</v>
      </c>
      <c r="C2128" s="2" t="str">
        <f>"女"</f>
        <v>女</v>
      </c>
      <c r="D2128" s="2" t="str">
        <f>"1996-02-27"</f>
        <v>1996-02-27</v>
      </c>
    </row>
    <row r="2129" spans="1:4" ht="15.75" customHeight="1" x14ac:dyDescent="0.2">
      <c r="A2129" s="2" t="s">
        <v>17</v>
      </c>
      <c r="B2129" s="2" t="str">
        <f>"李睿斌"</f>
        <v>李睿斌</v>
      </c>
      <c r="C2129" s="2" t="str">
        <f>"男"</f>
        <v>男</v>
      </c>
      <c r="D2129" s="2" t="str">
        <f>"1994-11-06"</f>
        <v>1994-11-06</v>
      </c>
    </row>
    <row r="2130" spans="1:4" ht="15.75" customHeight="1" x14ac:dyDescent="0.2">
      <c r="A2130" s="2" t="s">
        <v>26</v>
      </c>
      <c r="B2130" s="2" t="str">
        <f>"陈虹羽"</f>
        <v>陈虹羽</v>
      </c>
      <c r="C2130" s="2" t="str">
        <f>"女"</f>
        <v>女</v>
      </c>
      <c r="D2130" s="2" t="str">
        <f>"1997-03-02"</f>
        <v>1997-03-02</v>
      </c>
    </row>
    <row r="2131" spans="1:4" ht="15.75" customHeight="1" x14ac:dyDescent="0.2">
      <c r="A2131" s="2" t="s">
        <v>66</v>
      </c>
      <c r="B2131" s="2" t="str">
        <f>"汤海华"</f>
        <v>汤海华</v>
      </c>
      <c r="C2131" s="2" t="str">
        <f>"男"</f>
        <v>男</v>
      </c>
      <c r="D2131" s="2" t="str">
        <f>"1993-01-11"</f>
        <v>1993-01-11</v>
      </c>
    </row>
    <row r="2132" spans="1:4" ht="15.75" customHeight="1" x14ac:dyDescent="0.2">
      <c r="A2132" s="2" t="s">
        <v>25</v>
      </c>
      <c r="B2132" s="2" t="str">
        <f>"戴玉洁"</f>
        <v>戴玉洁</v>
      </c>
      <c r="C2132" s="2" t="str">
        <f>"女"</f>
        <v>女</v>
      </c>
      <c r="D2132" s="2" t="str">
        <f>"1997-04-28"</f>
        <v>1997-04-28</v>
      </c>
    </row>
    <row r="2133" spans="1:4" ht="15.75" customHeight="1" x14ac:dyDescent="0.2">
      <c r="A2133" s="2" t="s">
        <v>30</v>
      </c>
      <c r="B2133" s="2" t="str">
        <f>"钟奕威"</f>
        <v>钟奕威</v>
      </c>
      <c r="C2133" s="2" t="str">
        <f>"男"</f>
        <v>男</v>
      </c>
      <c r="D2133" s="2" t="str">
        <f>"1996-02-29"</f>
        <v>1996-02-29</v>
      </c>
    </row>
    <row r="2134" spans="1:4" ht="15.75" customHeight="1" x14ac:dyDescent="0.2">
      <c r="A2134" s="2" t="s">
        <v>18</v>
      </c>
      <c r="B2134" s="2" t="str">
        <f>"唐媛"</f>
        <v>唐媛</v>
      </c>
      <c r="C2134" s="2" t="str">
        <f>"女"</f>
        <v>女</v>
      </c>
      <c r="D2134" s="2" t="str">
        <f>"1999-12-13"</f>
        <v>1999-12-13</v>
      </c>
    </row>
    <row r="2135" spans="1:4" ht="15.75" customHeight="1" x14ac:dyDescent="0.2">
      <c r="A2135" s="2" t="s">
        <v>70</v>
      </c>
      <c r="B2135" s="2" t="str">
        <f>"李杰"</f>
        <v>李杰</v>
      </c>
      <c r="C2135" s="2" t="str">
        <f>"女"</f>
        <v>女</v>
      </c>
      <c r="D2135" s="2" t="str">
        <f>"1987-08-22"</f>
        <v>1987-08-22</v>
      </c>
    </row>
    <row r="2136" spans="1:4" ht="15.75" customHeight="1" x14ac:dyDescent="0.2">
      <c r="A2136" s="2" t="s">
        <v>18</v>
      </c>
      <c r="B2136" s="2" t="str">
        <f>"张蓉"</f>
        <v>张蓉</v>
      </c>
      <c r="C2136" s="2" t="str">
        <f>"女"</f>
        <v>女</v>
      </c>
      <c r="D2136" s="2" t="str">
        <f>"1997-07-26"</f>
        <v>1997-07-26</v>
      </c>
    </row>
    <row r="2137" spans="1:4" ht="15.75" customHeight="1" x14ac:dyDescent="0.2">
      <c r="A2137" s="2" t="s">
        <v>71</v>
      </c>
      <c r="B2137" s="2" t="str">
        <f>"朱维毅"</f>
        <v>朱维毅</v>
      </c>
      <c r="C2137" s="2" t="str">
        <f>"男"</f>
        <v>男</v>
      </c>
      <c r="D2137" s="2" t="str">
        <f>"1988-08-15"</f>
        <v>1988-08-15</v>
      </c>
    </row>
    <row r="2138" spans="1:4" ht="15.75" customHeight="1" x14ac:dyDescent="0.2">
      <c r="A2138" s="2" t="s">
        <v>48</v>
      </c>
      <c r="B2138" s="2" t="str">
        <f>"黄正伟"</f>
        <v>黄正伟</v>
      </c>
      <c r="C2138" s="2" t="str">
        <f>"男"</f>
        <v>男</v>
      </c>
      <c r="D2138" s="2" t="str">
        <f>"1990-11-07"</f>
        <v>1990-11-07</v>
      </c>
    </row>
    <row r="2139" spans="1:4" ht="15.75" customHeight="1" x14ac:dyDescent="0.2">
      <c r="A2139" s="2" t="s">
        <v>44</v>
      </c>
      <c r="B2139" s="2" t="str">
        <f>"龙婷"</f>
        <v>龙婷</v>
      </c>
      <c r="C2139" s="2" t="str">
        <f>"女"</f>
        <v>女</v>
      </c>
      <c r="D2139" s="2" t="str">
        <f>"1994-04-05"</f>
        <v>1994-04-05</v>
      </c>
    </row>
    <row r="2140" spans="1:4" ht="15.75" customHeight="1" x14ac:dyDescent="0.2">
      <c r="A2140" s="2" t="s">
        <v>65</v>
      </c>
      <c r="B2140" s="2" t="str">
        <f>"吉梦秋"</f>
        <v>吉梦秋</v>
      </c>
      <c r="C2140" s="2" t="str">
        <f>"女"</f>
        <v>女</v>
      </c>
      <c r="D2140" s="2" t="str">
        <f>"1998-06-26"</f>
        <v>1998-06-26</v>
      </c>
    </row>
    <row r="2141" spans="1:4" ht="15.75" customHeight="1" x14ac:dyDescent="0.2">
      <c r="A2141" s="2" t="s">
        <v>70</v>
      </c>
      <c r="B2141" s="2" t="str">
        <f>"陈书雅"</f>
        <v>陈书雅</v>
      </c>
      <c r="C2141" s="2" t="str">
        <f>"女"</f>
        <v>女</v>
      </c>
      <c r="D2141" s="2" t="str">
        <f>"1990-02-11"</f>
        <v>1990-02-11</v>
      </c>
    </row>
    <row r="2142" spans="1:4" ht="15.75" customHeight="1" x14ac:dyDescent="0.2">
      <c r="A2142" s="2" t="s">
        <v>20</v>
      </c>
      <c r="B2142" s="2" t="str">
        <f>"陈志康"</f>
        <v>陈志康</v>
      </c>
      <c r="C2142" s="2" t="str">
        <f>"男"</f>
        <v>男</v>
      </c>
      <c r="D2142" s="2" t="str">
        <f>"1995-08-22"</f>
        <v>1995-08-22</v>
      </c>
    </row>
    <row r="2143" spans="1:4" ht="15.75" customHeight="1" x14ac:dyDescent="0.2">
      <c r="A2143" s="2" t="s">
        <v>48</v>
      </c>
      <c r="B2143" s="2" t="str">
        <f>"朱垂兴"</f>
        <v>朱垂兴</v>
      </c>
      <c r="C2143" s="2" t="str">
        <f>"男"</f>
        <v>男</v>
      </c>
      <c r="D2143" s="2" t="str">
        <f>"1995-04-25"</f>
        <v>1995-04-25</v>
      </c>
    </row>
    <row r="2144" spans="1:4" ht="15.75" customHeight="1" x14ac:dyDescent="0.2">
      <c r="A2144" s="2" t="s">
        <v>13</v>
      </c>
      <c r="B2144" s="2" t="str">
        <f>"谭妮娜"</f>
        <v>谭妮娜</v>
      </c>
      <c r="C2144" s="2" t="str">
        <f>"女"</f>
        <v>女</v>
      </c>
      <c r="D2144" s="2" t="str">
        <f>"1986-12-12"</f>
        <v>1986-12-12</v>
      </c>
    </row>
    <row r="2145" spans="1:4" ht="15.75" customHeight="1" x14ac:dyDescent="0.2">
      <c r="A2145" s="2" t="s">
        <v>61</v>
      </c>
      <c r="B2145" s="2" t="str">
        <f>"潘锦枫"</f>
        <v>潘锦枫</v>
      </c>
      <c r="C2145" s="2" t="str">
        <f>"女"</f>
        <v>女</v>
      </c>
      <c r="D2145" s="2" t="str">
        <f>"1997-06-04"</f>
        <v>1997-06-04</v>
      </c>
    </row>
    <row r="2146" spans="1:4" ht="15.75" customHeight="1" x14ac:dyDescent="0.2">
      <c r="A2146" s="2" t="s">
        <v>19</v>
      </c>
      <c r="B2146" s="2" t="str">
        <f>"覃超"</f>
        <v>覃超</v>
      </c>
      <c r="C2146" s="2" t="str">
        <f>"男"</f>
        <v>男</v>
      </c>
      <c r="D2146" s="2" t="str">
        <f>"1996-02-20"</f>
        <v>1996-02-20</v>
      </c>
    </row>
    <row r="2147" spans="1:4" ht="15.75" customHeight="1" x14ac:dyDescent="0.2">
      <c r="A2147" s="2" t="s">
        <v>50</v>
      </c>
      <c r="B2147" s="2" t="str">
        <f>"罗佳"</f>
        <v>罗佳</v>
      </c>
      <c r="C2147" s="2" t="str">
        <f>"女"</f>
        <v>女</v>
      </c>
      <c r="D2147" s="2" t="str">
        <f>"1997-12-23"</f>
        <v>1997-12-23</v>
      </c>
    </row>
    <row r="2148" spans="1:4" ht="15.75" customHeight="1" x14ac:dyDescent="0.2">
      <c r="A2148" s="2" t="s">
        <v>4</v>
      </c>
      <c r="B2148" s="2" t="str">
        <f>"李伟"</f>
        <v>李伟</v>
      </c>
      <c r="C2148" s="2" t="str">
        <f>"男"</f>
        <v>男</v>
      </c>
      <c r="D2148" s="2" t="str">
        <f>"1992-02-26"</f>
        <v>1992-02-26</v>
      </c>
    </row>
    <row r="2149" spans="1:4" ht="15.75" customHeight="1" x14ac:dyDescent="0.2">
      <c r="A2149" s="2" t="s">
        <v>52</v>
      </c>
      <c r="B2149" s="2" t="str">
        <f>"王子繁"</f>
        <v>王子繁</v>
      </c>
      <c r="C2149" s="2" t="str">
        <f>"女"</f>
        <v>女</v>
      </c>
      <c r="D2149" s="2" t="str">
        <f>"1998-07-13"</f>
        <v>1998-07-13</v>
      </c>
    </row>
    <row r="2150" spans="1:4" ht="15.75" customHeight="1" x14ac:dyDescent="0.2">
      <c r="A2150" s="2" t="s">
        <v>9</v>
      </c>
      <c r="B2150" s="2" t="str">
        <f>"陈建宇"</f>
        <v>陈建宇</v>
      </c>
      <c r="C2150" s="2" t="str">
        <f>"男"</f>
        <v>男</v>
      </c>
      <c r="D2150" s="2" t="str">
        <f>"1993-10-03"</f>
        <v>1993-10-03</v>
      </c>
    </row>
    <row r="2151" spans="1:4" ht="15.75" customHeight="1" x14ac:dyDescent="0.2">
      <c r="A2151" s="2" t="s">
        <v>56</v>
      </c>
      <c r="B2151" s="2" t="str">
        <f>"王露洁"</f>
        <v>王露洁</v>
      </c>
      <c r="C2151" s="2" t="str">
        <f>"女"</f>
        <v>女</v>
      </c>
      <c r="D2151" s="2" t="str">
        <f>"1996-11-21"</f>
        <v>1996-11-21</v>
      </c>
    </row>
    <row r="2152" spans="1:4" ht="15.75" customHeight="1" x14ac:dyDescent="0.2">
      <c r="A2152" s="2" t="s">
        <v>28</v>
      </c>
      <c r="B2152" s="2" t="str">
        <f>"罗蓉"</f>
        <v>罗蓉</v>
      </c>
      <c r="C2152" s="2" t="str">
        <f>"女"</f>
        <v>女</v>
      </c>
      <c r="D2152" s="2" t="str">
        <f>"1994-10-08"</f>
        <v>1994-10-08</v>
      </c>
    </row>
    <row r="2153" spans="1:4" ht="15.75" customHeight="1" x14ac:dyDescent="0.2">
      <c r="A2153" s="2" t="s">
        <v>58</v>
      </c>
      <c r="B2153" s="2" t="str">
        <f>"张琼月"</f>
        <v>张琼月</v>
      </c>
      <c r="C2153" s="2" t="str">
        <f>"女"</f>
        <v>女</v>
      </c>
      <c r="D2153" s="2" t="str">
        <f>"1996-02-16"</f>
        <v>1996-02-16</v>
      </c>
    </row>
    <row r="2154" spans="1:4" ht="15.75" customHeight="1" x14ac:dyDescent="0.2">
      <c r="A2154" s="2" t="s">
        <v>24</v>
      </c>
      <c r="B2154" s="2" t="str">
        <f>"胡金丽"</f>
        <v>胡金丽</v>
      </c>
      <c r="C2154" s="2" t="str">
        <f>"女"</f>
        <v>女</v>
      </c>
      <c r="D2154" s="2" t="str">
        <f>"1987-11-02"</f>
        <v>1987-11-02</v>
      </c>
    </row>
    <row r="2155" spans="1:4" ht="15.75" customHeight="1" x14ac:dyDescent="0.2">
      <c r="A2155" s="2" t="s">
        <v>43</v>
      </c>
      <c r="B2155" s="2" t="str">
        <f>"孙裔"</f>
        <v>孙裔</v>
      </c>
      <c r="C2155" s="2" t="str">
        <f>"女"</f>
        <v>女</v>
      </c>
      <c r="D2155" s="2" t="str">
        <f>"1996-09-06"</f>
        <v>1996-09-06</v>
      </c>
    </row>
    <row r="2156" spans="1:4" ht="15.75" customHeight="1" x14ac:dyDescent="0.2">
      <c r="A2156" s="2" t="s">
        <v>16</v>
      </c>
      <c r="B2156" s="2" t="str">
        <f>"王昆"</f>
        <v>王昆</v>
      </c>
      <c r="C2156" s="2" t="str">
        <f>"男"</f>
        <v>男</v>
      </c>
      <c r="D2156" s="2" t="str">
        <f>"1999-05-01"</f>
        <v>1999-05-01</v>
      </c>
    </row>
    <row r="2157" spans="1:4" ht="15.75" customHeight="1" x14ac:dyDescent="0.2">
      <c r="A2157" s="2" t="s">
        <v>42</v>
      </c>
      <c r="B2157" s="2" t="str">
        <f>"谢宛君"</f>
        <v>谢宛君</v>
      </c>
      <c r="C2157" s="2" t="str">
        <f>"女"</f>
        <v>女</v>
      </c>
      <c r="D2157" s="2" t="str">
        <f>"1996-07-31"</f>
        <v>1996-07-31</v>
      </c>
    </row>
    <row r="2158" spans="1:4" ht="15.75" customHeight="1" x14ac:dyDescent="0.2">
      <c r="A2158" s="2" t="s">
        <v>37</v>
      </c>
      <c r="B2158" s="2" t="str">
        <f>"彭天柱"</f>
        <v>彭天柱</v>
      </c>
      <c r="C2158" s="2" t="str">
        <f>"男"</f>
        <v>男</v>
      </c>
      <c r="D2158" s="2" t="str">
        <f>"1996-10-29"</f>
        <v>1996-10-29</v>
      </c>
    </row>
    <row r="2159" spans="1:4" ht="15.75" customHeight="1" x14ac:dyDescent="0.2">
      <c r="A2159" s="2" t="s">
        <v>25</v>
      </c>
      <c r="B2159" s="2" t="str">
        <f>"龚孟婷"</f>
        <v>龚孟婷</v>
      </c>
      <c r="C2159" s="2" t="str">
        <f>"女"</f>
        <v>女</v>
      </c>
      <c r="D2159" s="2" t="str">
        <f>"1989-10-24"</f>
        <v>1989-10-24</v>
      </c>
    </row>
    <row r="2160" spans="1:4" ht="15.75" customHeight="1" x14ac:dyDescent="0.2">
      <c r="A2160" s="2" t="s">
        <v>24</v>
      </c>
      <c r="B2160" s="2" t="str">
        <f>"张青"</f>
        <v>张青</v>
      </c>
      <c r="C2160" s="2" t="str">
        <f>"女"</f>
        <v>女</v>
      </c>
      <c r="D2160" s="2" t="str">
        <f>"1990-10-13"</f>
        <v>1990-10-13</v>
      </c>
    </row>
    <row r="2161" spans="1:4" ht="15.75" customHeight="1" x14ac:dyDescent="0.2">
      <c r="A2161" s="2" t="s">
        <v>49</v>
      </c>
      <c r="B2161" s="2" t="str">
        <f>"粟洋"</f>
        <v>粟洋</v>
      </c>
      <c r="C2161" s="2" t="str">
        <f>"男"</f>
        <v>男</v>
      </c>
      <c r="D2161" s="2" t="str">
        <f>"1999-02-23"</f>
        <v>1999-02-23</v>
      </c>
    </row>
    <row r="2162" spans="1:4" ht="15.75" customHeight="1" x14ac:dyDescent="0.2">
      <c r="A2162" s="2" t="s">
        <v>43</v>
      </c>
      <c r="B2162" s="2" t="str">
        <f>"刘彦君"</f>
        <v>刘彦君</v>
      </c>
      <c r="C2162" s="2" t="str">
        <f>"女"</f>
        <v>女</v>
      </c>
      <c r="D2162" s="2" t="str">
        <f>"1997-10-01"</f>
        <v>1997-10-01</v>
      </c>
    </row>
    <row r="2163" spans="1:4" ht="15.75" customHeight="1" x14ac:dyDescent="0.2">
      <c r="A2163" s="2" t="s">
        <v>57</v>
      </c>
      <c r="B2163" s="2" t="str">
        <f>"汤雅加"</f>
        <v>汤雅加</v>
      </c>
      <c r="C2163" s="2" t="str">
        <f>"女"</f>
        <v>女</v>
      </c>
      <c r="D2163" s="2" t="str">
        <f>"1999-07-10"</f>
        <v>1999-07-10</v>
      </c>
    </row>
    <row r="2164" spans="1:4" ht="15.75" customHeight="1" x14ac:dyDescent="0.2">
      <c r="A2164" s="2" t="s">
        <v>4</v>
      </c>
      <c r="B2164" s="2" t="str">
        <f>"陈宇"</f>
        <v>陈宇</v>
      </c>
      <c r="C2164" s="2" t="str">
        <f>"男"</f>
        <v>男</v>
      </c>
      <c r="D2164" s="2" t="str">
        <f>"1991-09-23"</f>
        <v>1991-09-23</v>
      </c>
    </row>
    <row r="2165" spans="1:4" ht="15.75" customHeight="1" x14ac:dyDescent="0.2">
      <c r="A2165" s="2" t="s">
        <v>42</v>
      </c>
      <c r="B2165" s="2" t="str">
        <f>"陈欧惠"</f>
        <v>陈欧惠</v>
      </c>
      <c r="C2165" s="2" t="str">
        <f>"女"</f>
        <v>女</v>
      </c>
      <c r="D2165" s="2" t="str">
        <f>"1996-07-14"</f>
        <v>1996-07-14</v>
      </c>
    </row>
    <row r="2166" spans="1:4" ht="15.75" customHeight="1" x14ac:dyDescent="0.2">
      <c r="A2166" s="2" t="s">
        <v>61</v>
      </c>
      <c r="B2166" s="2" t="str">
        <f>"宋卓玉"</f>
        <v>宋卓玉</v>
      </c>
      <c r="C2166" s="2" t="str">
        <f>"女"</f>
        <v>女</v>
      </c>
      <c r="D2166" s="2" t="str">
        <f>"1999-09-24"</f>
        <v>1999-09-24</v>
      </c>
    </row>
    <row r="2167" spans="1:4" ht="15.75" customHeight="1" x14ac:dyDescent="0.2">
      <c r="A2167" s="2" t="s">
        <v>8</v>
      </c>
      <c r="B2167" s="2" t="str">
        <f>"沙子超"</f>
        <v>沙子超</v>
      </c>
      <c r="C2167" s="2" t="str">
        <f>"男"</f>
        <v>男</v>
      </c>
      <c r="D2167" s="2" t="str">
        <f>"1994-09-13"</f>
        <v>1994-09-13</v>
      </c>
    </row>
    <row r="2168" spans="1:4" ht="15.75" customHeight="1" x14ac:dyDescent="0.2">
      <c r="A2168" s="2" t="s">
        <v>74</v>
      </c>
      <c r="B2168" s="2" t="str">
        <f>"曾璇"</f>
        <v>曾璇</v>
      </c>
      <c r="C2168" s="2" t="str">
        <f>"男"</f>
        <v>男</v>
      </c>
      <c r="D2168" s="2" t="str">
        <f>"1997-02-03"</f>
        <v>1997-02-03</v>
      </c>
    </row>
    <row r="2169" spans="1:4" ht="15.75" customHeight="1" x14ac:dyDescent="0.2">
      <c r="A2169" s="2" t="s">
        <v>29</v>
      </c>
      <c r="B2169" s="2" t="str">
        <f>"黄健"</f>
        <v>黄健</v>
      </c>
      <c r="C2169" s="2" t="str">
        <f>"男"</f>
        <v>男</v>
      </c>
      <c r="D2169" s="2" t="str">
        <f>"1994-04-20"</f>
        <v>1994-04-20</v>
      </c>
    </row>
    <row r="2170" spans="1:4" ht="15.75" customHeight="1" x14ac:dyDescent="0.2">
      <c r="A2170" s="2" t="s">
        <v>42</v>
      </c>
      <c r="B2170" s="2" t="str">
        <f>"田宇晖"</f>
        <v>田宇晖</v>
      </c>
      <c r="C2170" s="2" t="str">
        <f>"女"</f>
        <v>女</v>
      </c>
      <c r="D2170" s="2" t="str">
        <f>"1997-11-23"</f>
        <v>1997-11-23</v>
      </c>
    </row>
    <row r="2171" spans="1:4" ht="15.75" customHeight="1" x14ac:dyDescent="0.2">
      <c r="A2171" s="2" t="s">
        <v>56</v>
      </c>
      <c r="B2171" s="2" t="str">
        <f>"王苹"</f>
        <v>王苹</v>
      </c>
      <c r="C2171" s="2" t="str">
        <f>"女"</f>
        <v>女</v>
      </c>
      <c r="D2171" s="2" t="str">
        <f>"1999-07-23"</f>
        <v>1999-07-23</v>
      </c>
    </row>
    <row r="2172" spans="1:4" ht="15.75" customHeight="1" x14ac:dyDescent="0.2">
      <c r="A2172" s="2" t="s">
        <v>52</v>
      </c>
      <c r="B2172" s="2" t="str">
        <f>"杨光耀"</f>
        <v>杨光耀</v>
      </c>
      <c r="C2172" s="2" t="str">
        <f>"男"</f>
        <v>男</v>
      </c>
      <c r="D2172" s="2" t="str">
        <f>"1999-06-17"</f>
        <v>1999-06-17</v>
      </c>
    </row>
    <row r="2173" spans="1:4" ht="15.75" customHeight="1" x14ac:dyDescent="0.2">
      <c r="A2173" s="2" t="s">
        <v>20</v>
      </c>
      <c r="B2173" s="2" t="str">
        <f>"伍心蕊"</f>
        <v>伍心蕊</v>
      </c>
      <c r="C2173" s="2" t="str">
        <f>"女"</f>
        <v>女</v>
      </c>
      <c r="D2173" s="2" t="str">
        <f>"1998-02-06"</f>
        <v>1998-02-06</v>
      </c>
    </row>
    <row r="2174" spans="1:4" ht="15.75" customHeight="1" x14ac:dyDescent="0.2">
      <c r="A2174" s="2" t="s">
        <v>28</v>
      </c>
      <c r="B2174" s="2" t="str">
        <f>"陈程"</f>
        <v>陈程</v>
      </c>
      <c r="C2174" s="2" t="str">
        <f>"女"</f>
        <v>女</v>
      </c>
      <c r="D2174" s="2" t="str">
        <f>"1997-06-06"</f>
        <v>1997-06-06</v>
      </c>
    </row>
    <row r="2175" spans="1:4" ht="15.75" customHeight="1" x14ac:dyDescent="0.2">
      <c r="A2175" s="2" t="s">
        <v>73</v>
      </c>
      <c r="B2175" s="2" t="str">
        <f>"符榕"</f>
        <v>符榕</v>
      </c>
      <c r="C2175" s="2" t="str">
        <f>"女"</f>
        <v>女</v>
      </c>
      <c r="D2175" s="2" t="str">
        <f>"1996-11-02"</f>
        <v>1996-11-02</v>
      </c>
    </row>
    <row r="2176" spans="1:4" ht="15.75" customHeight="1" x14ac:dyDescent="0.2">
      <c r="A2176" s="2" t="s">
        <v>52</v>
      </c>
      <c r="B2176" s="2" t="str">
        <f>"徐文静"</f>
        <v>徐文静</v>
      </c>
      <c r="C2176" s="2" t="str">
        <f>"女"</f>
        <v>女</v>
      </c>
      <c r="D2176" s="2" t="str">
        <f>"1988-01-24"</f>
        <v>1988-01-24</v>
      </c>
    </row>
    <row r="2177" spans="1:4" ht="15.75" customHeight="1" x14ac:dyDescent="0.2">
      <c r="A2177" s="2" t="s">
        <v>14</v>
      </c>
      <c r="B2177" s="2" t="str">
        <f>"代维芳"</f>
        <v>代维芳</v>
      </c>
      <c r="C2177" s="2" t="str">
        <f>"女"</f>
        <v>女</v>
      </c>
      <c r="D2177" s="2" t="str">
        <f>"1990-05-22"</f>
        <v>1990-05-22</v>
      </c>
    </row>
    <row r="2178" spans="1:4" ht="15.75" customHeight="1" x14ac:dyDescent="0.2">
      <c r="A2178" s="2" t="s">
        <v>44</v>
      </c>
      <c r="B2178" s="2" t="str">
        <f>"洪华"</f>
        <v>洪华</v>
      </c>
      <c r="C2178" s="2" t="str">
        <f>"男"</f>
        <v>男</v>
      </c>
      <c r="D2178" s="2" t="str">
        <f>"1990-01-23"</f>
        <v>1990-01-23</v>
      </c>
    </row>
    <row r="2179" spans="1:4" ht="15.75" customHeight="1" x14ac:dyDescent="0.2">
      <c r="A2179" s="2" t="s">
        <v>60</v>
      </c>
      <c r="B2179" s="2" t="str">
        <f>"田润酥"</f>
        <v>田润酥</v>
      </c>
      <c r="C2179" s="2" t="str">
        <f>"女"</f>
        <v>女</v>
      </c>
      <c r="D2179" s="2" t="str">
        <f>"1997-12-28"</f>
        <v>1997-12-28</v>
      </c>
    </row>
    <row r="2180" spans="1:4" ht="15.75" customHeight="1" x14ac:dyDescent="0.2">
      <c r="A2180" s="2" t="s">
        <v>17</v>
      </c>
      <c r="B2180" s="2" t="str">
        <f>"吴云龙"</f>
        <v>吴云龙</v>
      </c>
      <c r="C2180" s="2" t="str">
        <f>"男"</f>
        <v>男</v>
      </c>
      <c r="D2180" s="2" t="str">
        <f>"1999-01-28"</f>
        <v>1999-01-28</v>
      </c>
    </row>
    <row r="2181" spans="1:4" ht="15.75" customHeight="1" x14ac:dyDescent="0.2">
      <c r="A2181" s="2" t="s">
        <v>70</v>
      </c>
      <c r="B2181" s="2" t="str">
        <f>"黄慈文"</f>
        <v>黄慈文</v>
      </c>
      <c r="C2181" s="2" t="str">
        <f>"男"</f>
        <v>男</v>
      </c>
      <c r="D2181" s="2" t="str">
        <f>"1995-09-11"</f>
        <v>1995-09-11</v>
      </c>
    </row>
    <row r="2182" spans="1:4" ht="15.75" customHeight="1" x14ac:dyDescent="0.2">
      <c r="A2182" s="2" t="s">
        <v>55</v>
      </c>
      <c r="B2182" s="2" t="str">
        <f>"张莉"</f>
        <v>张莉</v>
      </c>
      <c r="C2182" s="2" t="str">
        <f>"女"</f>
        <v>女</v>
      </c>
      <c r="D2182" s="2" t="str">
        <f>"1995-01-20"</f>
        <v>1995-01-20</v>
      </c>
    </row>
    <row r="2183" spans="1:4" ht="15.75" customHeight="1" x14ac:dyDescent="0.2">
      <c r="A2183" s="2" t="s">
        <v>52</v>
      </c>
      <c r="B2183" s="2" t="str">
        <f>"郭春凤"</f>
        <v>郭春凤</v>
      </c>
      <c r="C2183" s="2" t="str">
        <f>"女"</f>
        <v>女</v>
      </c>
      <c r="D2183" s="2" t="str">
        <f>"1989-12-04"</f>
        <v>1989-12-04</v>
      </c>
    </row>
    <row r="2184" spans="1:4" ht="15.75" customHeight="1" x14ac:dyDescent="0.2">
      <c r="A2184" s="2" t="s">
        <v>13</v>
      </c>
      <c r="B2184" s="2" t="str">
        <f>"周廉皓"</f>
        <v>周廉皓</v>
      </c>
      <c r="C2184" s="2" t="str">
        <f>"男"</f>
        <v>男</v>
      </c>
      <c r="D2184" s="2" t="str">
        <f>"1998-07-21"</f>
        <v>1998-07-21</v>
      </c>
    </row>
    <row r="2185" spans="1:4" ht="15.75" customHeight="1" x14ac:dyDescent="0.2">
      <c r="A2185" s="2" t="s">
        <v>52</v>
      </c>
      <c r="B2185" s="2" t="str">
        <f>"莫准军"</f>
        <v>莫准军</v>
      </c>
      <c r="C2185" s="2" t="str">
        <f>"男"</f>
        <v>男</v>
      </c>
      <c r="D2185" s="2" t="str">
        <f>"1991-06-23"</f>
        <v>1991-06-23</v>
      </c>
    </row>
    <row r="2186" spans="1:4" ht="15.75" customHeight="1" x14ac:dyDescent="0.2">
      <c r="A2186" s="2" t="s">
        <v>57</v>
      </c>
      <c r="B2186" s="2" t="str">
        <f>"李洁"</f>
        <v>李洁</v>
      </c>
      <c r="C2186" s="2" t="str">
        <f>"女"</f>
        <v>女</v>
      </c>
      <c r="D2186" s="2" t="str">
        <f>"1991-08-03"</f>
        <v>1991-08-03</v>
      </c>
    </row>
    <row r="2187" spans="1:4" ht="15.75" customHeight="1" x14ac:dyDescent="0.2">
      <c r="A2187" s="2" t="s">
        <v>41</v>
      </c>
      <c r="B2187" s="2" t="str">
        <f>"周赛"</f>
        <v>周赛</v>
      </c>
      <c r="C2187" s="2" t="str">
        <f>"女"</f>
        <v>女</v>
      </c>
      <c r="D2187" s="2" t="str">
        <f>"1996-10-02"</f>
        <v>1996-10-02</v>
      </c>
    </row>
    <row r="2188" spans="1:4" ht="15.75" customHeight="1" x14ac:dyDescent="0.2">
      <c r="A2188" s="2" t="s">
        <v>70</v>
      </c>
      <c r="B2188" s="2" t="str">
        <f>"全艳君"</f>
        <v>全艳君</v>
      </c>
      <c r="C2188" s="2" t="str">
        <f>"女"</f>
        <v>女</v>
      </c>
      <c r="D2188" s="2" t="str">
        <f>"1996-12-20"</f>
        <v>1996-12-20</v>
      </c>
    </row>
    <row r="2189" spans="1:4" ht="15.75" customHeight="1" x14ac:dyDescent="0.2">
      <c r="A2189" s="2" t="s">
        <v>49</v>
      </c>
      <c r="B2189" s="2" t="str">
        <f>"呙于国"</f>
        <v>呙于国</v>
      </c>
      <c r="C2189" s="2" t="str">
        <f>"男"</f>
        <v>男</v>
      </c>
      <c r="D2189" s="2" t="str">
        <f>"1987-09-22"</f>
        <v>1987-09-22</v>
      </c>
    </row>
    <row r="2190" spans="1:4" ht="15.75" customHeight="1" x14ac:dyDescent="0.2">
      <c r="A2190" s="2" t="s">
        <v>20</v>
      </c>
      <c r="B2190" s="2" t="str">
        <f>"夏凡"</f>
        <v>夏凡</v>
      </c>
      <c r="C2190" s="2" t="str">
        <f>"男"</f>
        <v>男</v>
      </c>
      <c r="D2190" s="2" t="str">
        <f>"1995-09-05"</f>
        <v>1995-09-05</v>
      </c>
    </row>
    <row r="2191" spans="1:4" ht="15.75" customHeight="1" x14ac:dyDescent="0.2">
      <c r="A2191" s="2" t="s">
        <v>13</v>
      </c>
      <c r="B2191" s="2" t="str">
        <f>"毛麒麟"</f>
        <v>毛麒麟</v>
      </c>
      <c r="C2191" s="2" t="str">
        <f>"女"</f>
        <v>女</v>
      </c>
      <c r="D2191" s="2" t="str">
        <f>"1998-10-02"</f>
        <v>1998-10-02</v>
      </c>
    </row>
    <row r="2192" spans="1:4" ht="15.75" customHeight="1" x14ac:dyDescent="0.2">
      <c r="A2192" s="2" t="s">
        <v>17</v>
      </c>
      <c r="B2192" s="2" t="str">
        <f>"李宏辉"</f>
        <v>李宏辉</v>
      </c>
      <c r="C2192" s="2" t="str">
        <f>"男"</f>
        <v>男</v>
      </c>
      <c r="D2192" s="2" t="str">
        <f>"1989-10-23"</f>
        <v>1989-10-23</v>
      </c>
    </row>
    <row r="2193" spans="1:4" ht="15.75" customHeight="1" x14ac:dyDescent="0.2">
      <c r="A2193" s="2" t="s">
        <v>60</v>
      </c>
      <c r="B2193" s="2" t="str">
        <f>"杨丽"</f>
        <v>杨丽</v>
      </c>
      <c r="C2193" s="2" t="str">
        <f>"女"</f>
        <v>女</v>
      </c>
      <c r="D2193" s="2" t="str">
        <f>"1995-08-19"</f>
        <v>1995-08-19</v>
      </c>
    </row>
    <row r="2194" spans="1:4" ht="15.75" customHeight="1" x14ac:dyDescent="0.2">
      <c r="A2194" s="2" t="s">
        <v>15</v>
      </c>
      <c r="B2194" s="2" t="str">
        <f>"杨柳"</f>
        <v>杨柳</v>
      </c>
      <c r="C2194" s="2" t="str">
        <f>"女"</f>
        <v>女</v>
      </c>
      <c r="D2194" s="2" t="str">
        <f>"1997-07-19"</f>
        <v>1997-07-19</v>
      </c>
    </row>
    <row r="2195" spans="1:4" ht="15.75" customHeight="1" x14ac:dyDescent="0.2">
      <c r="A2195" s="2" t="s">
        <v>28</v>
      </c>
      <c r="B2195" s="2" t="str">
        <f>"陈家豪"</f>
        <v>陈家豪</v>
      </c>
      <c r="C2195" s="2" t="str">
        <f>"男"</f>
        <v>男</v>
      </c>
      <c r="D2195" s="2" t="str">
        <f>"1993-11-24"</f>
        <v>1993-11-24</v>
      </c>
    </row>
    <row r="2196" spans="1:4" ht="15.75" customHeight="1" x14ac:dyDescent="0.2">
      <c r="A2196" s="2" t="s">
        <v>74</v>
      </c>
      <c r="B2196" s="2" t="str">
        <f>"毛宁"</f>
        <v>毛宁</v>
      </c>
      <c r="C2196" s="2" t="str">
        <f>"男"</f>
        <v>男</v>
      </c>
      <c r="D2196" s="2" t="str">
        <f>"1998-05-15"</f>
        <v>1998-05-15</v>
      </c>
    </row>
    <row r="2197" spans="1:4" ht="15.75" customHeight="1" x14ac:dyDescent="0.2">
      <c r="A2197" s="2" t="s">
        <v>52</v>
      </c>
      <c r="B2197" s="2" t="str">
        <f>"王杨"</f>
        <v>王杨</v>
      </c>
      <c r="C2197" s="2" t="str">
        <f>"女"</f>
        <v>女</v>
      </c>
      <c r="D2197" s="2" t="str">
        <f>"1995-10-28"</f>
        <v>1995-10-28</v>
      </c>
    </row>
    <row r="2198" spans="1:4" ht="15.75" customHeight="1" x14ac:dyDescent="0.2">
      <c r="A2198" s="2" t="s">
        <v>8</v>
      </c>
      <c r="B2198" s="2" t="str">
        <f>"葛梁"</f>
        <v>葛梁</v>
      </c>
      <c r="C2198" s="2" t="str">
        <f>"男"</f>
        <v>男</v>
      </c>
      <c r="D2198" s="2" t="str">
        <f>"1986-12-22"</f>
        <v>1986-12-22</v>
      </c>
    </row>
    <row r="2199" spans="1:4" ht="15.75" customHeight="1" x14ac:dyDescent="0.2">
      <c r="A2199" s="2" t="s">
        <v>55</v>
      </c>
      <c r="B2199" s="2" t="str">
        <f>"钟乐"</f>
        <v>钟乐</v>
      </c>
      <c r="C2199" s="2" t="str">
        <f>"女"</f>
        <v>女</v>
      </c>
      <c r="D2199" s="2" t="str">
        <f>"1995-01-27"</f>
        <v>1995-01-27</v>
      </c>
    </row>
    <row r="2200" spans="1:4" ht="15.75" customHeight="1" x14ac:dyDescent="0.2">
      <c r="A2200" s="2" t="s">
        <v>55</v>
      </c>
      <c r="B2200" s="2" t="str">
        <f>"高明"</f>
        <v>高明</v>
      </c>
      <c r="C2200" s="2" t="str">
        <f>"女"</f>
        <v>女</v>
      </c>
      <c r="D2200" s="2" t="str">
        <f>"1992-07-15"</f>
        <v>1992-07-15</v>
      </c>
    </row>
    <row r="2201" spans="1:4" ht="15.75" customHeight="1" x14ac:dyDescent="0.2">
      <c r="A2201" s="2" t="s">
        <v>17</v>
      </c>
      <c r="B2201" s="2" t="str">
        <f>"夏勇"</f>
        <v>夏勇</v>
      </c>
      <c r="C2201" s="2" t="str">
        <f>"男"</f>
        <v>男</v>
      </c>
      <c r="D2201" s="2" t="str">
        <f>"1989-09-15"</f>
        <v>1989-09-15</v>
      </c>
    </row>
    <row r="2202" spans="1:4" ht="15.75" customHeight="1" x14ac:dyDescent="0.2">
      <c r="A2202" s="2" t="s">
        <v>38</v>
      </c>
      <c r="B2202" s="2" t="str">
        <f>"蒙宁安"</f>
        <v>蒙宁安</v>
      </c>
      <c r="C2202" s="2" t="str">
        <f>"男"</f>
        <v>男</v>
      </c>
      <c r="D2202" s="2" t="str">
        <f>"1995-10-12"</f>
        <v>1995-10-12</v>
      </c>
    </row>
    <row r="2203" spans="1:4" ht="15.75" customHeight="1" x14ac:dyDescent="0.2">
      <c r="A2203" s="2" t="s">
        <v>48</v>
      </c>
      <c r="B2203" s="2" t="str">
        <f>"胡义"</f>
        <v>胡义</v>
      </c>
      <c r="C2203" s="2" t="str">
        <f>"女"</f>
        <v>女</v>
      </c>
      <c r="D2203" s="2" t="str">
        <f>"1995-07-15"</f>
        <v>1995-07-15</v>
      </c>
    </row>
    <row r="2204" spans="1:4" ht="15.75" customHeight="1" x14ac:dyDescent="0.2">
      <c r="A2204" s="2" t="s">
        <v>22</v>
      </c>
      <c r="B2204" s="2" t="str">
        <f>"欧阳源珑"</f>
        <v>欧阳源珑</v>
      </c>
      <c r="C2204" s="2" t="str">
        <f>"男"</f>
        <v>男</v>
      </c>
      <c r="D2204" s="2" t="str">
        <f>"1994-04-04"</f>
        <v>1994-04-04</v>
      </c>
    </row>
    <row r="2205" spans="1:4" ht="15.75" customHeight="1" x14ac:dyDescent="0.2">
      <c r="A2205" s="2" t="s">
        <v>41</v>
      </c>
      <c r="B2205" s="2" t="str">
        <f>"李欣然"</f>
        <v>李欣然</v>
      </c>
      <c r="C2205" s="2" t="str">
        <f t="shared" ref="C2205:C2216" si="30">"女"</f>
        <v>女</v>
      </c>
      <c r="D2205" s="2" t="str">
        <f>"1998-06-06"</f>
        <v>1998-06-06</v>
      </c>
    </row>
    <row r="2206" spans="1:4" ht="15.75" customHeight="1" x14ac:dyDescent="0.2">
      <c r="A2206" s="2" t="s">
        <v>42</v>
      </c>
      <c r="B2206" s="2" t="str">
        <f>"李超"</f>
        <v>李超</v>
      </c>
      <c r="C2206" s="2" t="str">
        <f t="shared" si="30"/>
        <v>女</v>
      </c>
      <c r="D2206" s="2" t="str">
        <f>"1996-03-24"</f>
        <v>1996-03-24</v>
      </c>
    </row>
    <row r="2207" spans="1:4" ht="15.75" customHeight="1" x14ac:dyDescent="0.2">
      <c r="A2207" s="2" t="s">
        <v>24</v>
      </c>
      <c r="B2207" s="2" t="str">
        <f>"刘亦思"</f>
        <v>刘亦思</v>
      </c>
      <c r="C2207" s="2" t="str">
        <f t="shared" si="30"/>
        <v>女</v>
      </c>
      <c r="D2207" s="2" t="str">
        <f>"1991-02-21"</f>
        <v>1991-02-21</v>
      </c>
    </row>
    <row r="2208" spans="1:4" ht="15.75" customHeight="1" x14ac:dyDescent="0.2">
      <c r="A2208" s="2" t="s">
        <v>43</v>
      </c>
      <c r="B2208" s="2" t="str">
        <f>"熊湘香"</f>
        <v>熊湘香</v>
      </c>
      <c r="C2208" s="2" t="str">
        <f t="shared" si="30"/>
        <v>女</v>
      </c>
      <c r="D2208" s="2" t="str">
        <f>"1997-04-02"</f>
        <v>1997-04-02</v>
      </c>
    </row>
    <row r="2209" spans="1:4" ht="15.75" customHeight="1" x14ac:dyDescent="0.2">
      <c r="A2209" s="2" t="s">
        <v>10</v>
      </c>
      <c r="B2209" s="2" t="str">
        <f>"易郁文"</f>
        <v>易郁文</v>
      </c>
      <c r="C2209" s="2" t="str">
        <f t="shared" si="30"/>
        <v>女</v>
      </c>
      <c r="D2209" s="2" t="str">
        <f>"1999-03-15"</f>
        <v>1999-03-15</v>
      </c>
    </row>
    <row r="2210" spans="1:4" ht="15.75" customHeight="1" x14ac:dyDescent="0.2">
      <c r="A2210" s="2" t="s">
        <v>34</v>
      </c>
      <c r="B2210" s="2" t="str">
        <f>"李豪"</f>
        <v>李豪</v>
      </c>
      <c r="C2210" s="2" t="str">
        <f t="shared" si="30"/>
        <v>女</v>
      </c>
      <c r="D2210" s="2" t="str">
        <f>"1995-05-27"</f>
        <v>1995-05-27</v>
      </c>
    </row>
    <row r="2211" spans="1:4" ht="15.75" customHeight="1" x14ac:dyDescent="0.2">
      <c r="A2211" s="2" t="s">
        <v>15</v>
      </c>
      <c r="B2211" s="2" t="str">
        <f>"何敏"</f>
        <v>何敏</v>
      </c>
      <c r="C2211" s="2" t="str">
        <f t="shared" si="30"/>
        <v>女</v>
      </c>
      <c r="D2211" s="2" t="str">
        <f>"1993-08-01"</f>
        <v>1993-08-01</v>
      </c>
    </row>
    <row r="2212" spans="1:4" ht="15.75" customHeight="1" x14ac:dyDescent="0.2">
      <c r="A2212" s="2" t="s">
        <v>14</v>
      </c>
      <c r="B2212" s="2" t="str">
        <f>"王颖"</f>
        <v>王颖</v>
      </c>
      <c r="C2212" s="2" t="str">
        <f t="shared" si="30"/>
        <v>女</v>
      </c>
      <c r="D2212" s="2" t="str">
        <f>"1999-10-03"</f>
        <v>1999-10-03</v>
      </c>
    </row>
    <row r="2213" spans="1:4" ht="15.75" customHeight="1" x14ac:dyDescent="0.2">
      <c r="A2213" s="2" t="s">
        <v>42</v>
      </c>
      <c r="B2213" s="2" t="str">
        <f>"杨柳"</f>
        <v>杨柳</v>
      </c>
      <c r="C2213" s="2" t="str">
        <f t="shared" si="30"/>
        <v>女</v>
      </c>
      <c r="D2213" s="2" t="str">
        <f>"1991-12-25"</f>
        <v>1991-12-25</v>
      </c>
    </row>
    <row r="2214" spans="1:4" ht="15.75" customHeight="1" x14ac:dyDescent="0.2">
      <c r="A2214" s="2" t="s">
        <v>18</v>
      </c>
      <c r="B2214" s="2" t="str">
        <f>"司马婷"</f>
        <v>司马婷</v>
      </c>
      <c r="C2214" s="2" t="str">
        <f t="shared" si="30"/>
        <v>女</v>
      </c>
      <c r="D2214" s="2" t="str">
        <f>"1997-01-26"</f>
        <v>1997-01-26</v>
      </c>
    </row>
    <row r="2215" spans="1:4" ht="15.75" customHeight="1" x14ac:dyDescent="0.2">
      <c r="A2215" s="2" t="s">
        <v>42</v>
      </c>
      <c r="B2215" s="2" t="str">
        <f>"郭金华"</f>
        <v>郭金华</v>
      </c>
      <c r="C2215" s="2" t="str">
        <f t="shared" si="30"/>
        <v>女</v>
      </c>
      <c r="D2215" s="2" t="str">
        <f>"1987-02-13"</f>
        <v>1987-02-13</v>
      </c>
    </row>
    <row r="2216" spans="1:4" ht="15.75" customHeight="1" x14ac:dyDescent="0.2">
      <c r="A2216" s="2" t="s">
        <v>15</v>
      </c>
      <c r="B2216" s="2" t="str">
        <f>"陈冰洁"</f>
        <v>陈冰洁</v>
      </c>
      <c r="C2216" s="2" t="str">
        <f t="shared" si="30"/>
        <v>女</v>
      </c>
      <c r="D2216" s="2" t="str">
        <f>"1989-03-25"</f>
        <v>1989-03-25</v>
      </c>
    </row>
    <row r="2217" spans="1:4" ht="15.75" customHeight="1" x14ac:dyDescent="0.2">
      <c r="A2217" s="2" t="s">
        <v>36</v>
      </c>
      <c r="B2217" s="2" t="str">
        <f>"张琴"</f>
        <v>张琴</v>
      </c>
      <c r="C2217" s="2" t="str">
        <f>"男"</f>
        <v>男</v>
      </c>
      <c r="D2217" s="2" t="str">
        <f>"1998-02-24"</f>
        <v>1998-02-24</v>
      </c>
    </row>
    <row r="2218" spans="1:4" ht="15.75" customHeight="1" x14ac:dyDescent="0.2">
      <c r="A2218" s="2" t="s">
        <v>28</v>
      </c>
      <c r="B2218" s="2" t="str">
        <f>"袁雅诗"</f>
        <v>袁雅诗</v>
      </c>
      <c r="C2218" s="2" t="str">
        <f t="shared" ref="C2218:C2223" si="31">"女"</f>
        <v>女</v>
      </c>
      <c r="D2218" s="2" t="str">
        <f>"1995-07-03"</f>
        <v>1995-07-03</v>
      </c>
    </row>
    <row r="2219" spans="1:4" ht="15.75" customHeight="1" x14ac:dyDescent="0.2">
      <c r="A2219" s="2" t="s">
        <v>52</v>
      </c>
      <c r="B2219" s="2" t="str">
        <f>"彭婧琦"</f>
        <v>彭婧琦</v>
      </c>
      <c r="C2219" s="2" t="str">
        <f t="shared" si="31"/>
        <v>女</v>
      </c>
      <c r="D2219" s="2" t="str">
        <f>"1996-11-26"</f>
        <v>1996-11-26</v>
      </c>
    </row>
    <row r="2220" spans="1:4" ht="15.75" customHeight="1" x14ac:dyDescent="0.2">
      <c r="A2220" s="2" t="s">
        <v>15</v>
      </c>
      <c r="B2220" s="2" t="str">
        <f>"周娜"</f>
        <v>周娜</v>
      </c>
      <c r="C2220" s="2" t="str">
        <f t="shared" si="31"/>
        <v>女</v>
      </c>
      <c r="D2220" s="2" t="str">
        <f>"1991-06-04"</f>
        <v>1991-06-04</v>
      </c>
    </row>
    <row r="2221" spans="1:4" ht="15.75" customHeight="1" x14ac:dyDescent="0.2">
      <c r="A2221" s="2" t="s">
        <v>59</v>
      </c>
      <c r="B2221" s="2" t="str">
        <f>"李静"</f>
        <v>李静</v>
      </c>
      <c r="C2221" s="2" t="str">
        <f t="shared" si="31"/>
        <v>女</v>
      </c>
      <c r="D2221" s="2" t="str">
        <f>"1992-12-26"</f>
        <v>1992-12-26</v>
      </c>
    </row>
    <row r="2222" spans="1:4" ht="15.75" customHeight="1" x14ac:dyDescent="0.2">
      <c r="A2222" s="2" t="s">
        <v>8</v>
      </c>
      <c r="B2222" s="2" t="str">
        <f>"曾榆涵"</f>
        <v>曾榆涵</v>
      </c>
      <c r="C2222" s="2" t="str">
        <f t="shared" si="31"/>
        <v>女</v>
      </c>
      <c r="D2222" s="2" t="str">
        <f>"1991-09-24"</f>
        <v>1991-09-24</v>
      </c>
    </row>
    <row r="2223" spans="1:4" ht="15.75" customHeight="1" x14ac:dyDescent="0.2">
      <c r="A2223" s="2" t="s">
        <v>14</v>
      </c>
      <c r="B2223" s="2" t="str">
        <f>"邵珊"</f>
        <v>邵珊</v>
      </c>
      <c r="C2223" s="2" t="str">
        <f t="shared" si="31"/>
        <v>女</v>
      </c>
      <c r="D2223" s="2" t="str">
        <f>"1989-09-15"</f>
        <v>1989-09-15</v>
      </c>
    </row>
    <row r="2224" spans="1:4" ht="15.75" customHeight="1" x14ac:dyDescent="0.2">
      <c r="A2224" s="2" t="s">
        <v>25</v>
      </c>
      <c r="B2224" s="2" t="str">
        <f>"刘海波"</f>
        <v>刘海波</v>
      </c>
      <c r="C2224" s="2" t="str">
        <f>"男"</f>
        <v>男</v>
      </c>
      <c r="D2224" s="2" t="str">
        <f>"1994-04-01"</f>
        <v>1994-04-01</v>
      </c>
    </row>
    <row r="2225" spans="1:4" ht="15.75" customHeight="1" x14ac:dyDescent="0.2">
      <c r="A2225" s="2" t="s">
        <v>22</v>
      </c>
      <c r="B2225" s="2" t="str">
        <f>"周凤"</f>
        <v>周凤</v>
      </c>
      <c r="C2225" s="2" t="str">
        <f>"女"</f>
        <v>女</v>
      </c>
      <c r="D2225" s="2" t="str">
        <f>"1992-11-08"</f>
        <v>1992-11-08</v>
      </c>
    </row>
    <row r="2226" spans="1:4" ht="15.75" customHeight="1" x14ac:dyDescent="0.2">
      <c r="A2226" s="2" t="s">
        <v>70</v>
      </c>
      <c r="B2226" s="2" t="str">
        <f>"张煜敏"</f>
        <v>张煜敏</v>
      </c>
      <c r="C2226" s="2" t="str">
        <f>"男"</f>
        <v>男</v>
      </c>
      <c r="D2226" s="2" t="str">
        <f>"1988-01-23"</f>
        <v>1988-01-23</v>
      </c>
    </row>
    <row r="2227" spans="1:4" ht="15.75" customHeight="1" x14ac:dyDescent="0.2">
      <c r="A2227" s="2" t="s">
        <v>43</v>
      </c>
      <c r="B2227" s="2" t="str">
        <f>"贵馨苇"</f>
        <v>贵馨苇</v>
      </c>
      <c r="C2227" s="2" t="str">
        <f>"女"</f>
        <v>女</v>
      </c>
      <c r="D2227" s="2" t="str">
        <f>"1996-10-27"</f>
        <v>1996-10-27</v>
      </c>
    </row>
    <row r="2228" spans="1:4" ht="15.75" customHeight="1" x14ac:dyDescent="0.2">
      <c r="A2228" s="2" t="s">
        <v>72</v>
      </c>
      <c r="B2228" s="2" t="str">
        <f>"郭琳琳"</f>
        <v>郭琳琳</v>
      </c>
      <c r="C2228" s="2" t="str">
        <f>"女"</f>
        <v>女</v>
      </c>
      <c r="D2228" s="2" t="str">
        <f>"1993-09-18"</f>
        <v>1993-09-18</v>
      </c>
    </row>
    <row r="2229" spans="1:4" ht="15.75" customHeight="1" x14ac:dyDescent="0.2">
      <c r="A2229" s="2" t="s">
        <v>43</v>
      </c>
      <c r="B2229" s="2" t="str">
        <f>"王浩艳"</f>
        <v>王浩艳</v>
      </c>
      <c r="C2229" s="2" t="str">
        <f>"女"</f>
        <v>女</v>
      </c>
      <c r="D2229" s="2" t="str">
        <f>"1999-07-23"</f>
        <v>1999-07-23</v>
      </c>
    </row>
    <row r="2230" spans="1:4" ht="15.75" customHeight="1" x14ac:dyDescent="0.2">
      <c r="A2230" s="2" t="s">
        <v>42</v>
      </c>
      <c r="B2230" s="2" t="str">
        <f>"曹诗卉"</f>
        <v>曹诗卉</v>
      </c>
      <c r="C2230" s="2" t="str">
        <f>"女"</f>
        <v>女</v>
      </c>
      <c r="D2230" s="2" t="str">
        <f>"1989-03-08"</f>
        <v>1989-03-08</v>
      </c>
    </row>
    <row r="2231" spans="1:4" ht="15.75" customHeight="1" x14ac:dyDescent="0.2">
      <c r="A2231" s="2" t="s">
        <v>42</v>
      </c>
      <c r="B2231" s="2" t="str">
        <f>"许沐茜"</f>
        <v>许沐茜</v>
      </c>
      <c r="C2231" s="2" t="str">
        <f>"女"</f>
        <v>女</v>
      </c>
      <c r="D2231" s="2" t="str">
        <f>"1998-08-13"</f>
        <v>1998-08-13</v>
      </c>
    </row>
    <row r="2232" spans="1:4" ht="15.75" customHeight="1" x14ac:dyDescent="0.2">
      <c r="A2232" s="2" t="s">
        <v>8</v>
      </c>
      <c r="B2232" s="2" t="str">
        <f>"李宗禹"</f>
        <v>李宗禹</v>
      </c>
      <c r="C2232" s="2" t="str">
        <f>"男"</f>
        <v>男</v>
      </c>
      <c r="D2232" s="2" t="str">
        <f>"1990-05-02"</f>
        <v>1990-05-02</v>
      </c>
    </row>
    <row r="2233" spans="1:4" ht="15.75" customHeight="1" x14ac:dyDescent="0.2">
      <c r="A2233" s="2" t="s">
        <v>51</v>
      </c>
      <c r="B2233" s="2" t="str">
        <f>"伍黎"</f>
        <v>伍黎</v>
      </c>
      <c r="C2233" s="2" t="str">
        <f>"男"</f>
        <v>男</v>
      </c>
      <c r="D2233" s="2" t="str">
        <f>"1993-03-24"</f>
        <v>1993-03-24</v>
      </c>
    </row>
    <row r="2234" spans="1:4" ht="15.75" customHeight="1" x14ac:dyDescent="0.2">
      <c r="A2234" s="2" t="s">
        <v>14</v>
      </c>
      <c r="B2234" s="2" t="str">
        <f>"肖思齐"</f>
        <v>肖思齐</v>
      </c>
      <c r="C2234" s="2" t="str">
        <f>"男"</f>
        <v>男</v>
      </c>
      <c r="D2234" s="2" t="str">
        <f>"1993-09-21"</f>
        <v>1993-09-21</v>
      </c>
    </row>
    <row r="2235" spans="1:4" ht="15.75" customHeight="1" x14ac:dyDescent="0.2">
      <c r="A2235" s="2" t="s">
        <v>56</v>
      </c>
      <c r="B2235" s="2" t="str">
        <f>"周梅洁"</f>
        <v>周梅洁</v>
      </c>
      <c r="C2235" s="2" t="str">
        <f>"女"</f>
        <v>女</v>
      </c>
      <c r="D2235" s="2" t="str">
        <f>"1994-12-12"</f>
        <v>1994-12-12</v>
      </c>
    </row>
    <row r="2236" spans="1:4" ht="15.75" customHeight="1" x14ac:dyDescent="0.2">
      <c r="A2236" s="2" t="s">
        <v>9</v>
      </c>
      <c r="B2236" s="2" t="str">
        <f>"滕健"</f>
        <v>滕健</v>
      </c>
      <c r="C2236" s="2" t="str">
        <f>"女"</f>
        <v>女</v>
      </c>
      <c r="D2236" s="2" t="str">
        <f>"1986-10-20"</f>
        <v>1986-10-20</v>
      </c>
    </row>
    <row r="2237" spans="1:4" ht="15.75" customHeight="1" x14ac:dyDescent="0.2">
      <c r="A2237" s="2" t="s">
        <v>12</v>
      </c>
      <c r="B2237" s="2" t="str">
        <f>"龙锐"</f>
        <v>龙锐</v>
      </c>
      <c r="C2237" s="2" t="str">
        <f>"男"</f>
        <v>男</v>
      </c>
      <c r="D2237" s="2" t="str">
        <f>"1997-09-13"</f>
        <v>1997-09-13</v>
      </c>
    </row>
    <row r="2238" spans="1:4" ht="15.75" customHeight="1" x14ac:dyDescent="0.2">
      <c r="A2238" s="2" t="s">
        <v>13</v>
      </c>
      <c r="B2238" s="2" t="str">
        <f>"赵享清"</f>
        <v>赵享清</v>
      </c>
      <c r="C2238" s="2" t="str">
        <f>"男"</f>
        <v>男</v>
      </c>
      <c r="D2238" s="2" t="str">
        <f>"1998-07-13"</f>
        <v>1998-07-13</v>
      </c>
    </row>
    <row r="2239" spans="1:4" ht="15.75" customHeight="1" x14ac:dyDescent="0.2">
      <c r="A2239" s="2" t="s">
        <v>48</v>
      </c>
      <c r="B2239" s="2" t="str">
        <f>"李钰"</f>
        <v>李钰</v>
      </c>
      <c r="C2239" s="2" t="str">
        <f>"男"</f>
        <v>男</v>
      </c>
      <c r="D2239" s="2" t="str">
        <f>"1997-10-16"</f>
        <v>1997-10-16</v>
      </c>
    </row>
    <row r="2240" spans="1:4" ht="15.75" customHeight="1" x14ac:dyDescent="0.2">
      <c r="A2240" s="2" t="s">
        <v>13</v>
      </c>
      <c r="B2240" s="2" t="str">
        <f>"谢朝俊"</f>
        <v>谢朝俊</v>
      </c>
      <c r="C2240" s="2" t="str">
        <f>"男"</f>
        <v>男</v>
      </c>
      <c r="D2240" s="2" t="str">
        <f>"1995-08-03"</f>
        <v>1995-08-03</v>
      </c>
    </row>
    <row r="2241" spans="1:4" ht="15.75" customHeight="1" x14ac:dyDescent="0.2">
      <c r="A2241" s="2" t="s">
        <v>33</v>
      </c>
      <c r="B2241" s="2" t="str">
        <f>"刘蕊婕"</f>
        <v>刘蕊婕</v>
      </c>
      <c r="C2241" s="2" t="str">
        <f>"女"</f>
        <v>女</v>
      </c>
      <c r="D2241" s="2" t="str">
        <f>"1996-12-16"</f>
        <v>1996-12-16</v>
      </c>
    </row>
    <row r="2242" spans="1:4" ht="15.75" customHeight="1" x14ac:dyDescent="0.2">
      <c r="A2242" s="2" t="s">
        <v>17</v>
      </c>
      <c r="B2242" s="2" t="str">
        <f>"谭玮"</f>
        <v>谭玮</v>
      </c>
      <c r="C2242" s="2" t="str">
        <f>"男"</f>
        <v>男</v>
      </c>
      <c r="D2242" s="2" t="str">
        <f>"1991-09-04"</f>
        <v>1991-09-04</v>
      </c>
    </row>
    <row r="2243" spans="1:4" ht="15.75" customHeight="1" x14ac:dyDescent="0.2">
      <c r="A2243" s="2" t="s">
        <v>61</v>
      </c>
      <c r="B2243" s="2" t="str">
        <f>"阳润雨"</f>
        <v>阳润雨</v>
      </c>
      <c r="C2243" s="2" t="str">
        <f>"女"</f>
        <v>女</v>
      </c>
      <c r="D2243" s="2" t="str">
        <f>"1999-07-04"</f>
        <v>1999-07-04</v>
      </c>
    </row>
    <row r="2244" spans="1:4" ht="15.75" customHeight="1" x14ac:dyDescent="0.2">
      <c r="A2244" s="2" t="s">
        <v>31</v>
      </c>
      <c r="B2244" s="2" t="str">
        <f>"周琪"</f>
        <v>周琪</v>
      </c>
      <c r="C2244" s="2" t="str">
        <f>"女"</f>
        <v>女</v>
      </c>
      <c r="D2244" s="2" t="str">
        <f>"1995-08-09"</f>
        <v>1995-08-09</v>
      </c>
    </row>
    <row r="2245" spans="1:4" ht="15.75" customHeight="1" x14ac:dyDescent="0.2">
      <c r="A2245" s="2" t="s">
        <v>55</v>
      </c>
      <c r="B2245" s="2" t="str">
        <f>"黄海淑"</f>
        <v>黄海淑</v>
      </c>
      <c r="C2245" s="2" t="str">
        <f>"女"</f>
        <v>女</v>
      </c>
      <c r="D2245" s="2" t="str">
        <f>"1994-10-06"</f>
        <v>1994-10-06</v>
      </c>
    </row>
    <row r="2246" spans="1:4" ht="15.75" customHeight="1" x14ac:dyDescent="0.2">
      <c r="A2246" s="2" t="s">
        <v>49</v>
      </c>
      <c r="B2246" s="2" t="str">
        <f>"陈明新"</f>
        <v>陈明新</v>
      </c>
      <c r="C2246" s="2" t="str">
        <f>"男"</f>
        <v>男</v>
      </c>
      <c r="D2246" s="2" t="str">
        <f>"1986-11-11"</f>
        <v>1986-11-11</v>
      </c>
    </row>
    <row r="2247" spans="1:4" ht="15.75" customHeight="1" x14ac:dyDescent="0.2">
      <c r="A2247" s="2" t="s">
        <v>5</v>
      </c>
      <c r="B2247" s="2" t="str">
        <f>"张颖智"</f>
        <v>张颖智</v>
      </c>
      <c r="C2247" s="2" t="str">
        <f>"男"</f>
        <v>男</v>
      </c>
      <c r="D2247" s="2" t="str">
        <f>"1993-03-06"</f>
        <v>1993-03-06</v>
      </c>
    </row>
    <row r="2248" spans="1:4" ht="15.75" customHeight="1" x14ac:dyDescent="0.2">
      <c r="A2248" s="2" t="s">
        <v>18</v>
      </c>
      <c r="B2248" s="2" t="str">
        <f>"邱希燕"</f>
        <v>邱希燕</v>
      </c>
      <c r="C2248" s="2" t="str">
        <f>"女"</f>
        <v>女</v>
      </c>
      <c r="D2248" s="2" t="str">
        <f>"1998-02-27"</f>
        <v>1998-02-27</v>
      </c>
    </row>
    <row r="2249" spans="1:4" ht="15.75" customHeight="1" x14ac:dyDescent="0.2">
      <c r="A2249" s="2" t="s">
        <v>7</v>
      </c>
      <c r="B2249" s="2" t="str">
        <f>"肖子亮"</f>
        <v>肖子亮</v>
      </c>
      <c r="C2249" s="2" t="str">
        <f>"男"</f>
        <v>男</v>
      </c>
      <c r="D2249" s="2" t="str">
        <f>"1997-06-10"</f>
        <v>1997-06-10</v>
      </c>
    </row>
    <row r="2250" spans="1:4" ht="15.75" customHeight="1" x14ac:dyDescent="0.2">
      <c r="A2250" s="2" t="s">
        <v>53</v>
      </c>
      <c r="B2250" s="2" t="str">
        <f>"唐湘衡"</f>
        <v>唐湘衡</v>
      </c>
      <c r="C2250" s="2" t="str">
        <f>"男"</f>
        <v>男</v>
      </c>
      <c r="D2250" s="2" t="str">
        <f>"1998-01-05"</f>
        <v>1998-01-05</v>
      </c>
    </row>
    <row r="2251" spans="1:4" ht="15.75" customHeight="1" x14ac:dyDescent="0.2">
      <c r="A2251" s="2" t="s">
        <v>66</v>
      </c>
      <c r="B2251" s="2" t="str">
        <f>"聂湘"</f>
        <v>聂湘</v>
      </c>
      <c r="C2251" s="2" t="str">
        <f>"女"</f>
        <v>女</v>
      </c>
      <c r="D2251" s="2" t="str">
        <f>"1999-01-24"</f>
        <v>1999-01-24</v>
      </c>
    </row>
  </sheetData>
  <autoFilter ref="A1:D2251" xr:uid="{00000000-0009-0000-0000-000000000000}"/>
  <phoneticPr fontId="18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津市考生数据</vt:lpstr>
      <vt:lpstr>津市考生数据!Print_Area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昊天</dc:creator>
  <cp:lastModifiedBy>admin</cp:lastModifiedBy>
  <cp:lastPrinted>2021-07-19T01:19:49Z</cp:lastPrinted>
  <dcterms:created xsi:type="dcterms:W3CDTF">2021-07-19T00:43:16Z</dcterms:created>
  <dcterms:modified xsi:type="dcterms:W3CDTF">2021-07-19T01:27:07Z</dcterms:modified>
</cp:coreProperties>
</file>